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inetpub\wwwroot\ConsultaWeb2024\AJOnline\Actividad Por Jurisdiccion\Partidos Judiciales\LEON\"/>
    </mc:Choice>
  </mc:AlternateContent>
  <workbookProtection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19" i="20" l="1"/>
  <c r="BA21"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EW19" i="8" l="1"/>
  <c r="AW13" i="11"/>
  <c r="EV19" i="19"/>
  <c r="EW19" i="19"/>
  <c r="AU13" i="17"/>
  <c r="AW18" i="11"/>
  <c r="BP18" i="16"/>
  <c r="BP13" i="16"/>
  <c r="AX13" i="21"/>
  <c r="AY19" i="20"/>
  <c r="AW18" i="20"/>
  <c r="AW13" i="20"/>
  <c r="AU18" i="17"/>
  <c r="EV19" i="8"/>
  <c r="EV19" i="13"/>
  <c r="AW20" i="20"/>
  <c r="AU19" i="17" l="1"/>
  <c r="AX21" i="21"/>
  <c r="BR19" i="16"/>
  <c r="AW21" i="11"/>
  <c r="BB16" i="13"/>
  <c r="BA16" i="13"/>
  <c r="BB15" i="13"/>
  <c r="BA15" i="13"/>
  <c r="BE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9" i="19" s="1"/>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AB13" i="21" s="1"/>
  <c r="AB19"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B19" i="19" s="1"/>
  <c r="AA18" i="19"/>
  <c r="Z18" i="19"/>
  <c r="Y18" i="19"/>
  <c r="X18" i="19"/>
  <c r="W18" i="19"/>
  <c r="V18" i="19"/>
  <c r="V19" i="19" s="1"/>
  <c r="U18" i="19"/>
  <c r="T18" i="19"/>
  <c r="T19" i="19" s="1"/>
  <c r="S18" i="19"/>
  <c r="R18" i="19"/>
  <c r="Q18" i="19"/>
  <c r="P18" i="19"/>
  <c r="AT18" i="20" s="1"/>
  <c r="O18" i="19"/>
  <c r="N18" i="19"/>
  <c r="M18" i="19"/>
  <c r="L18" i="19"/>
  <c r="K18" i="19"/>
  <c r="J18" i="19"/>
  <c r="AO18" i="20" s="1"/>
  <c r="I18" i="19"/>
  <c r="AZ18" i="19"/>
  <c r="EN13" i="19"/>
  <c r="EM13" i="19"/>
  <c r="EL13" i="19"/>
  <c r="EL19" i="19" s="1"/>
  <c r="CV13" i="19"/>
  <c r="CU13" i="19"/>
  <c r="CT13" i="19"/>
  <c r="CS13" i="19"/>
  <c r="CL13" i="19"/>
  <c r="CK13" i="19"/>
  <c r="CJ13" i="19"/>
  <c r="AS13" i="21" s="1"/>
  <c r="CI13" i="19"/>
  <c r="AR13" i="20" s="1"/>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T13"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BG11" i="13" s="1"/>
  <c r="AY12" i="13"/>
  <c r="AY11" i="13"/>
  <c r="BB9" i="13"/>
  <c r="BA9" i="13"/>
  <c r="BD9" i="13" s="1"/>
  <c r="AY9" i="13"/>
  <c r="BC12" i="13"/>
  <c r="BC11" i="13"/>
  <c r="BC10" i="13"/>
  <c r="BB10" i="13"/>
  <c r="BA10" i="13"/>
  <c r="AZ10" i="13"/>
  <c r="AY10" i="13"/>
  <c r="BC9" i="13"/>
  <c r="BC17" i="13"/>
  <c r="BB17" i="13"/>
  <c r="BA17" i="13"/>
  <c r="AZ17" i="13"/>
  <c r="AY17" i="13"/>
  <c r="BC16" i="13"/>
  <c r="BG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K18" i="8"/>
  <c r="J18" i="8"/>
  <c r="I18" i="8"/>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C17" i="6" s="1"/>
  <c r="G15" i="2"/>
  <c r="G16" i="2"/>
  <c r="G17" i="2"/>
  <c r="E15" i="2"/>
  <c r="E16" i="2"/>
  <c r="E17" i="2"/>
  <c r="C16" i="2"/>
  <c r="C17" i="2"/>
  <c r="I9" i="2"/>
  <c r="I10" i="2"/>
  <c r="I11" i="2"/>
  <c r="I12" i="2"/>
  <c r="C10" i="2"/>
  <c r="C11" i="2"/>
  <c r="C12" i="2"/>
  <c r="G9" i="2"/>
  <c r="G10" i="2"/>
  <c r="G11" i="2"/>
  <c r="G12" i="2"/>
  <c r="E9" i="2"/>
  <c r="E10" i="2"/>
  <c r="E11" i="2"/>
  <c r="B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D19" i="13"/>
  <c r="B2" i="8"/>
  <c r="A3" i="8"/>
  <c r="B3" i="8"/>
  <c r="A4" i="8"/>
  <c r="B4" i="8"/>
  <c r="A5" i="8"/>
  <c r="BC9" i="8"/>
  <c r="AY10" i="8"/>
  <c r="AZ10" i="8"/>
  <c r="BG10" i="8" s="1"/>
  <c r="BA10" i="8"/>
  <c r="BB10" i="8"/>
  <c r="BC10" i="8"/>
  <c r="BC11" i="8"/>
  <c r="BC12" i="8"/>
  <c r="BC15" i="8"/>
  <c r="BC16" i="8"/>
  <c r="AY17" i="8"/>
  <c r="AZ17" i="8"/>
  <c r="BA17" i="8"/>
  <c r="BB17" i="8"/>
  <c r="BC17" i="8"/>
  <c r="AY18"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Y19" i="19"/>
  <c r="CJ19" i="19"/>
  <c r="BA13" i="19"/>
  <c r="CK19" i="19"/>
  <c r="BB18" i="19"/>
  <c r="BE18" i="19" s="1"/>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7" i="13"/>
  <c r="BE12" i="13"/>
  <c r="BG10" i="13"/>
  <c r="BD16" i="13"/>
  <c r="AO19" i="13"/>
  <c r="BD12" i="13"/>
  <c r="BG12" i="13"/>
  <c r="AP13" i="17"/>
  <c r="BJ13" i="16"/>
  <c r="AA19" i="13"/>
  <c r="BG17" i="8"/>
  <c r="AY13" i="13"/>
  <c r="BC18" i="13"/>
  <c r="AN19" i="13"/>
  <c r="AB19" i="13"/>
  <c r="BC13" i="13"/>
  <c r="AQ19" i="13"/>
  <c r="AE13" i="21"/>
  <c r="AP9" i="11"/>
  <c r="EL19" i="8"/>
  <c r="EQ19" i="8"/>
  <c r="EN19" i="8"/>
  <c r="B9" i="6"/>
  <c r="BA13" i="16"/>
  <c r="AN16" i="11"/>
  <c r="F16" i="10"/>
  <c r="T10" i="21"/>
  <c r="D16" i="2"/>
  <c r="D11" i="2"/>
  <c r="ES19" i="8"/>
  <c r="W19" i="13"/>
  <c r="X19" i="13"/>
  <c r="V19" i="13"/>
  <c r="AG19" i="19"/>
  <c r="BH19" i="13"/>
  <c r="AC19" i="13"/>
  <c r="Q19" i="13"/>
  <c r="CI19" i="8"/>
  <c r="ER19" i="13"/>
  <c r="AL13" i="16"/>
  <c r="P13" i="16"/>
  <c r="AN13" i="20"/>
  <c r="AL9" i="11"/>
  <c r="B17" i="6"/>
  <c r="T13" i="12"/>
  <c r="AE19" i="13"/>
  <c r="BD17" i="13"/>
  <c r="AZ18" i="13"/>
  <c r="BF9" i="8"/>
  <c r="BA13" i="8"/>
  <c r="BC19" i="13"/>
  <c r="U19" i="13"/>
  <c r="BB18" i="13"/>
  <c r="BE16" i="13"/>
  <c r="BF16" i="13"/>
  <c r="AI20" i="20"/>
  <c r="Z20" i="20"/>
  <c r="O16" i="11"/>
  <c r="AC20" i="20"/>
  <c r="I20" i="20"/>
  <c r="AL20" i="20"/>
  <c r="U12" i="11"/>
  <c r="H20" i="20"/>
  <c r="S20" i="20"/>
  <c r="U16" i="11"/>
  <c r="W20" i="20"/>
  <c r="BF17" i="8" l="1"/>
  <c r="D18" i="12"/>
  <c r="BF15" i="8"/>
  <c r="BE15" i="8"/>
  <c r="BD15" i="8"/>
  <c r="S19" i="8"/>
  <c r="AL12" i="11"/>
  <c r="E12" i="6"/>
  <c r="AC10" i="11"/>
  <c r="BD9" i="8"/>
  <c r="H9" i="7"/>
  <c r="BE9" i="8"/>
  <c r="I9" i="7" s="1"/>
  <c r="F9" i="2"/>
  <c r="L17" i="14"/>
  <c r="F15" i="2"/>
  <c r="J12" i="2"/>
  <c r="AO9" i="11"/>
  <c r="B10" i="6"/>
  <c r="L9" i="14"/>
  <c r="C9" i="6"/>
  <c r="AL11" i="11"/>
  <c r="AO11" i="11"/>
  <c r="AL17" i="11"/>
  <c r="E16" i="6"/>
  <c r="BG15" i="13"/>
  <c r="C15" i="6"/>
  <c r="I15" i="12" s="1"/>
  <c r="R8" i="9"/>
  <c r="BJ17" i="11" s="1"/>
  <c r="BD11" i="13"/>
  <c r="BF15" i="13"/>
  <c r="E11" i="6"/>
  <c r="BA13" i="13"/>
  <c r="BE13" i="13" s="1"/>
  <c r="BE9" i="13"/>
  <c r="K17" i="7"/>
  <c r="H11" i="2"/>
  <c r="BI16" i="16"/>
  <c r="F17" i="2"/>
  <c r="AN11" i="11"/>
  <c r="BD15" i="13"/>
  <c r="BA18" i="13"/>
  <c r="BG9" i="13"/>
  <c r="BF9" i="13"/>
  <c r="BE11" i="13"/>
  <c r="BE12" i="8"/>
  <c r="F12" i="21"/>
  <c r="AZ13" i="13"/>
  <c r="BH9" i="16"/>
  <c r="BF16" i="11"/>
  <c r="AP10" i="21"/>
  <c r="BG9" i="11"/>
  <c r="BV16" i="16"/>
  <c r="AA16" i="16"/>
  <c r="AQ10" i="21"/>
  <c r="BL16" i="11"/>
  <c r="BG10" i="11"/>
  <c r="T17" i="16"/>
  <c r="BH10" i="16"/>
  <c r="BH17" i="16"/>
  <c r="BL12" i="11"/>
  <c r="AO16" i="17"/>
  <c r="T15" i="16"/>
  <c r="BV10" i="16"/>
  <c r="Q17" i="17"/>
  <c r="BH12" i="16"/>
  <c r="Q10" i="21"/>
  <c r="BW11" i="20"/>
  <c r="AP16" i="20"/>
  <c r="BF17" i="11"/>
  <c r="BM12" i="11"/>
  <c r="BL11" i="11"/>
  <c r="BW16" i="20"/>
  <c r="AA15" i="16"/>
  <c r="BJ10" i="11"/>
  <c r="L10" i="2"/>
  <c r="AO17" i="17"/>
  <c r="X15" i="17"/>
  <c r="X9" i="17"/>
  <c r="V9" i="16"/>
  <c r="R10" i="14"/>
  <c r="AA11" i="16"/>
  <c r="AZ15" i="11"/>
  <c r="AZ18" i="11" s="1"/>
  <c r="T17" i="20"/>
  <c r="T11" i="11"/>
  <c r="X13" i="20"/>
  <c r="V11" i="16"/>
  <c r="X9" i="16"/>
  <c r="X19" i="16" s="1"/>
  <c r="S15" i="14"/>
  <c r="V15" i="14" s="1"/>
  <c r="X17" i="17"/>
  <c r="AZ11" i="11"/>
  <c r="BD18" i="19"/>
  <c r="AO13" i="20"/>
  <c r="N19" i="19"/>
  <c r="R19" i="19"/>
  <c r="Z19" i="19"/>
  <c r="AD19" i="19"/>
  <c r="AL19" i="19"/>
  <c r="AT19" i="19"/>
  <c r="F11" i="17"/>
  <c r="F15" i="16"/>
  <c r="BL15" i="16" s="1"/>
  <c r="BE10" i="8"/>
  <c r="AH13" i="16"/>
  <c r="D13" i="5"/>
  <c r="I16" i="3"/>
  <c r="G16" i="3"/>
  <c r="E16" i="3"/>
  <c r="I12" i="7"/>
  <c r="AO17" i="11"/>
  <c r="BF16" i="8"/>
  <c r="AY13" i="8"/>
  <c r="BG12" i="8"/>
  <c r="K12" i="7" s="1"/>
  <c r="BG15" i="8"/>
  <c r="K15" i="7" s="1"/>
  <c r="BD16" i="8"/>
  <c r="H16" i="7" s="1"/>
  <c r="F17" i="16"/>
  <c r="BL17" i="16" s="1"/>
  <c r="T18" i="17"/>
  <c r="T19" i="8"/>
  <c r="AB19" i="8"/>
  <c r="AJ19" i="8"/>
  <c r="BF12" i="8"/>
  <c r="J12" i="7" s="1"/>
  <c r="D9" i="6"/>
  <c r="D9" i="12"/>
  <c r="C12" i="6"/>
  <c r="H9" i="2"/>
  <c r="BF11" i="8"/>
  <c r="AL16" i="11"/>
  <c r="F16" i="11"/>
  <c r="B13" i="7"/>
  <c r="H13" i="12"/>
  <c r="C18" i="7"/>
  <c r="AR18" i="11"/>
  <c r="G18" i="12"/>
  <c r="EP19" i="8"/>
  <c r="ER19" i="8"/>
  <c r="F15" i="11"/>
  <c r="AQ15" i="11" s="1"/>
  <c r="N11" i="11"/>
  <c r="Y11" i="11"/>
  <c r="I17" i="10"/>
  <c r="K17" i="10" s="1"/>
  <c r="J16" i="10"/>
  <c r="L16" i="10" s="1"/>
  <c r="E18" i="2"/>
  <c r="F18" i="2" s="1"/>
  <c r="F12" i="2"/>
  <c r="AO12" i="11"/>
  <c r="C11" i="6"/>
  <c r="L16" i="14"/>
  <c r="AJ13" i="16"/>
  <c r="S19" i="13"/>
  <c r="BD12" i="8"/>
  <c r="H12" i="7" s="1"/>
  <c r="L12" i="14"/>
  <c r="D17" i="2"/>
  <c r="H17" i="2"/>
  <c r="B16" i="6"/>
  <c r="AN9" i="11"/>
  <c r="D12" i="2"/>
  <c r="E18" i="12"/>
  <c r="X19" i="8"/>
  <c r="D11" i="12"/>
  <c r="F11" i="12"/>
  <c r="L19" i="8"/>
  <c r="BD17" i="8"/>
  <c r="H17" i="7" s="1"/>
  <c r="BE11" i="8"/>
  <c r="AQ10" i="11"/>
  <c r="N9" i="11"/>
  <c r="AR13" i="21"/>
  <c r="B18" i="7"/>
  <c r="AO12" i="17"/>
  <c r="AO16" i="11"/>
  <c r="C16" i="6"/>
  <c r="E11" i="12"/>
  <c r="AL19" i="8"/>
  <c r="BG9" i="8"/>
  <c r="I9" i="12"/>
  <c r="I18" i="2"/>
  <c r="J18" i="2" s="1"/>
  <c r="AN12" i="11"/>
  <c r="Y17" i="11"/>
  <c r="C12" i="14"/>
  <c r="K12" i="14" s="1"/>
  <c r="G12" i="12"/>
  <c r="E12" i="12"/>
  <c r="D12" i="12"/>
  <c r="G12" i="3"/>
  <c r="D16" i="6"/>
  <c r="AR19" i="19"/>
  <c r="F15" i="17"/>
  <c r="AQ15" i="17" s="1"/>
  <c r="H18" i="16"/>
  <c r="BD10" i="13"/>
  <c r="G17" i="3"/>
  <c r="G11" i="3"/>
  <c r="J9" i="2"/>
  <c r="H12" i="2"/>
  <c r="B12" i="6"/>
  <c r="AH19" i="8"/>
  <c r="C19" i="3"/>
  <c r="E17" i="3"/>
  <c r="J11" i="7"/>
  <c r="AC12" i="11"/>
  <c r="BM19" i="8"/>
  <c r="BN18" i="16"/>
  <c r="BN19" i="16" s="1"/>
  <c r="F11" i="16"/>
  <c r="J11" i="10"/>
  <c r="L11" i="10" s="1"/>
  <c r="J9" i="10"/>
  <c r="L9" i="10" s="1"/>
  <c r="F10" i="2"/>
  <c r="J15" i="10"/>
  <c r="L15" i="10" s="1"/>
  <c r="Y12" i="11"/>
  <c r="AP12" i="11"/>
  <c r="I17" i="3"/>
  <c r="BI15" i="16"/>
  <c r="I11" i="3"/>
  <c r="I19" i="8"/>
  <c r="Q19" i="8"/>
  <c r="U19" i="8"/>
  <c r="Y19" i="8"/>
  <c r="AC19" i="8"/>
  <c r="AK19" i="8"/>
  <c r="H18" i="12"/>
  <c r="Z19" i="8"/>
  <c r="I12" i="3"/>
  <c r="AE13" i="17"/>
  <c r="AV18" i="17"/>
  <c r="AT18" i="17"/>
  <c r="J18" i="17"/>
  <c r="E13" i="17"/>
  <c r="Z13" i="17"/>
  <c r="F17" i="17"/>
  <c r="AQ17" i="17" s="1"/>
  <c r="O19" i="8"/>
  <c r="AA19" i="8"/>
  <c r="AE19" i="8"/>
  <c r="AI19" i="8"/>
  <c r="BK19" i="8"/>
  <c r="E9" i="12"/>
  <c r="G9" i="12"/>
  <c r="F12" i="11"/>
  <c r="AQ12" i="11" s="1"/>
  <c r="AP15" i="11"/>
  <c r="AP11" i="11"/>
  <c r="C13" i="5"/>
  <c r="H18" i="3"/>
  <c r="I18" i="3" s="1"/>
  <c r="J17" i="10"/>
  <c r="L17" i="10" s="1"/>
  <c r="N13" i="2"/>
  <c r="AU18" i="21"/>
  <c r="I19" i="19"/>
  <c r="U19" i="19"/>
  <c r="AO19" i="19"/>
  <c r="S19" i="19"/>
  <c r="AA19" i="19"/>
  <c r="AI19" i="19"/>
  <c r="AQ19" i="19"/>
  <c r="BF18" i="19"/>
  <c r="BE13" i="19"/>
  <c r="CL19" i="19"/>
  <c r="F16" i="17"/>
  <c r="AQ11" i="17"/>
  <c r="AC19" i="17"/>
  <c r="BM19" i="13"/>
  <c r="BK19" i="13"/>
  <c r="AM19" i="13"/>
  <c r="Q13" i="12"/>
  <c r="AG19" i="8"/>
  <c r="D12" i="6"/>
  <c r="W13" i="17"/>
  <c r="W19" i="8"/>
  <c r="I15" i="10"/>
  <c r="K15" i="10" s="1"/>
  <c r="I11" i="10"/>
  <c r="K11" i="10" s="1"/>
  <c r="E9" i="6"/>
  <c r="F13" i="7"/>
  <c r="AV18" i="21"/>
  <c r="D13" i="7"/>
  <c r="AM19" i="8"/>
  <c r="R19" i="8"/>
  <c r="BM18" i="16"/>
  <c r="AW18" i="21"/>
  <c r="E12" i="3"/>
  <c r="Z13" i="11"/>
  <c r="L11" i="14"/>
  <c r="Y10" i="11"/>
  <c r="AA13" i="11"/>
  <c r="AC17" i="11"/>
  <c r="C13" i="7"/>
  <c r="D18" i="7"/>
  <c r="AB21" i="21"/>
  <c r="Y9" i="11"/>
  <c r="AV13" i="11"/>
  <c r="R18" i="11"/>
  <c r="M13" i="21"/>
  <c r="M19" i="21" s="1"/>
  <c r="H13" i="21"/>
  <c r="H19" i="21" s="1"/>
  <c r="G18" i="7"/>
  <c r="M18" i="2"/>
  <c r="F17" i="11"/>
  <c r="AQ17" i="11" s="1"/>
  <c r="F9" i="11"/>
  <c r="F9" i="12"/>
  <c r="J13" i="11"/>
  <c r="AF13" i="11"/>
  <c r="AX21" i="11"/>
  <c r="AB18" i="11"/>
  <c r="J12" i="10"/>
  <c r="L12" i="10" s="1"/>
  <c r="N18" i="2"/>
  <c r="M13" i="2"/>
  <c r="J10" i="2"/>
  <c r="E17" i="6"/>
  <c r="AE19" i="21"/>
  <c r="AF13" i="21"/>
  <c r="AF19" i="21" s="1"/>
  <c r="AO13" i="21"/>
  <c r="BE12" i="21"/>
  <c r="BE13" i="21" s="1"/>
  <c r="BE19" i="21" s="1"/>
  <c r="AM13" i="21"/>
  <c r="AA20" i="20"/>
  <c r="AM20" i="20"/>
  <c r="AQ20" i="20"/>
  <c r="Y20" i="20"/>
  <c r="AZ20" i="20"/>
  <c r="W20" i="21"/>
  <c r="AU20" i="20"/>
  <c r="AP13" i="21" l="1"/>
  <c r="I12" i="12"/>
  <c r="S17" i="17"/>
  <c r="X16" i="17"/>
  <c r="T12" i="11"/>
  <c r="L17" i="2"/>
  <c r="V17" i="16"/>
  <c r="X11" i="17"/>
  <c r="R17" i="14"/>
  <c r="AQ13" i="21"/>
  <c r="AZ9" i="11"/>
  <c r="AA17" i="16"/>
  <c r="S10" i="14"/>
  <c r="V10" i="14" s="1"/>
  <c r="S10" i="17"/>
  <c r="X12" i="17"/>
  <c r="BU17" i="17"/>
  <c r="P17" i="17"/>
  <c r="BJ16" i="11"/>
  <c r="BI9" i="11"/>
  <c r="BU12" i="17"/>
  <c r="BW17" i="20"/>
  <c r="BI17" i="11"/>
  <c r="V11" i="11"/>
  <c r="Q17" i="20"/>
  <c r="Q18" i="20" s="1"/>
  <c r="X15" i="16"/>
  <c r="X18" i="16" s="1"/>
  <c r="BU11" i="17"/>
  <c r="BK9" i="11"/>
  <c r="Q15" i="17"/>
  <c r="S17" i="14"/>
  <c r="V17" i="14" s="1"/>
  <c r="BV11" i="16"/>
  <c r="BK17" i="11"/>
  <c r="S16" i="14"/>
  <c r="V16" i="14" s="1"/>
  <c r="BF10" i="11"/>
  <c r="BH11" i="16"/>
  <c r="BG12" i="11"/>
  <c r="BJ15" i="11"/>
  <c r="BF15" i="11"/>
  <c r="AQ12" i="21"/>
  <c r="BH10" i="11"/>
  <c r="V12" i="16"/>
  <c r="BW9" i="20"/>
  <c r="R10" i="21"/>
  <c r="R13" i="21" s="1"/>
  <c r="R19" i="21" s="1"/>
  <c r="BK15" i="11"/>
  <c r="BL17" i="11"/>
  <c r="X12" i="21"/>
  <c r="AM12" i="11"/>
  <c r="X12" i="16"/>
  <c r="S9" i="17"/>
  <c r="T17" i="11"/>
  <c r="V15" i="20"/>
  <c r="V18" i="20" s="1"/>
  <c r="L11" i="2"/>
  <c r="X16" i="20"/>
  <c r="AA10" i="16"/>
  <c r="R11" i="14"/>
  <c r="S16" i="17"/>
  <c r="S11" i="17"/>
  <c r="X10" i="17"/>
  <c r="L9" i="2"/>
  <c r="AA12" i="21"/>
  <c r="BM17" i="11"/>
  <c r="BU10" i="17"/>
  <c r="BF11" i="11"/>
  <c r="BH16" i="11"/>
  <c r="P15" i="17"/>
  <c r="P18" i="17" s="1"/>
  <c r="BW10" i="20"/>
  <c r="BU15" i="17"/>
  <c r="BJ11" i="11"/>
  <c r="R12" i="14"/>
  <c r="BH15" i="11"/>
  <c r="BM9" i="11"/>
  <c r="AP15" i="20"/>
  <c r="BL9" i="11"/>
  <c r="BL10" i="11"/>
  <c r="S12" i="14"/>
  <c r="V12" i="14" s="1"/>
  <c r="BV12" i="16"/>
  <c r="BG15" i="11"/>
  <c r="BI10" i="11"/>
  <c r="AO9" i="17"/>
  <c r="T9" i="11"/>
  <c r="BV9" i="16"/>
  <c r="AZ17" i="11"/>
  <c r="V10" i="16"/>
  <c r="BG16" i="11"/>
  <c r="S15" i="16"/>
  <c r="BU9" i="17"/>
  <c r="AP17" i="20"/>
  <c r="AM9" i="11"/>
  <c r="V12" i="21"/>
  <c r="BH15" i="16"/>
  <c r="BG13" i="13"/>
  <c r="X13" i="17"/>
  <c r="BA19" i="13"/>
  <c r="U9" i="17"/>
  <c r="U19" i="17" s="1"/>
  <c r="AA9" i="16"/>
  <c r="T15" i="11"/>
  <c r="U10" i="17"/>
  <c r="AZ16" i="11"/>
  <c r="X17" i="20"/>
  <c r="S11" i="14"/>
  <c r="V11" i="14" s="1"/>
  <c r="V10" i="21"/>
  <c r="X10" i="21"/>
  <c r="V15" i="16"/>
  <c r="S9" i="14"/>
  <c r="V9" i="14" s="1"/>
  <c r="AZ12" i="11"/>
  <c r="U10" i="21"/>
  <c r="BL15" i="11"/>
  <c r="R17" i="20"/>
  <c r="R18" i="20" s="1"/>
  <c r="L16" i="2"/>
  <c r="BH11" i="11"/>
  <c r="T16" i="11"/>
  <c r="BW15" i="20"/>
  <c r="BM15" i="11"/>
  <c r="V9" i="11"/>
  <c r="S17" i="16"/>
  <c r="V15" i="11"/>
  <c r="AP13" i="20"/>
  <c r="BI15" i="11"/>
  <c r="L12" i="2"/>
  <c r="BF12" i="11"/>
  <c r="BU16" i="17"/>
  <c r="BV17" i="16"/>
  <c r="BJ12" i="11"/>
  <c r="BK11" i="11"/>
  <c r="BM16" i="11"/>
  <c r="BK10" i="11"/>
  <c r="BW12" i="20"/>
  <c r="BK12" i="11"/>
  <c r="S15" i="17"/>
  <c r="BK16" i="11"/>
  <c r="R16" i="14"/>
  <c r="BV15" i="16"/>
  <c r="BH17" i="11"/>
  <c r="BH9" i="11"/>
  <c r="AM16" i="11"/>
  <c r="BD13" i="13"/>
  <c r="P19" i="17"/>
  <c r="K9" i="12"/>
  <c r="I11" i="12"/>
  <c r="P19" i="19"/>
  <c r="BC19" i="19"/>
  <c r="Q19" i="19"/>
  <c r="X19" i="19"/>
  <c r="AF19" i="19"/>
  <c r="AN19" i="19"/>
  <c r="AM19" i="19"/>
  <c r="BI19" i="19"/>
  <c r="AY19" i="19"/>
  <c r="CN19" i="19"/>
  <c r="T13" i="20"/>
  <c r="BK19" i="19"/>
  <c r="BB19" i="19"/>
  <c r="M19" i="19"/>
  <c r="AC19" i="19"/>
  <c r="AK19" i="19"/>
  <c r="AS19" i="19"/>
  <c r="AP18" i="20"/>
  <c r="AJ19" i="19"/>
  <c r="AP19" i="19"/>
  <c r="ER19" i="19"/>
  <c r="AJ18" i="17"/>
  <c r="AB20" i="20"/>
  <c r="E20" i="20"/>
  <c r="AH20" i="20"/>
  <c r="AP20" i="20"/>
  <c r="K20" i="20"/>
  <c r="AQ20" i="21"/>
  <c r="AD20" i="20"/>
  <c r="X20" i="20"/>
  <c r="J20" i="20"/>
  <c r="T20" i="21"/>
  <c r="AG20" i="20"/>
  <c r="F20" i="20"/>
  <c r="L20" i="20"/>
  <c r="M20" i="20"/>
  <c r="R20" i="20"/>
  <c r="O20" i="20"/>
  <c r="P20" i="20"/>
  <c r="G13" i="14"/>
  <c r="AE20" i="20"/>
  <c r="T20" i="20"/>
  <c r="Q20" i="20"/>
  <c r="AX20" i="20"/>
  <c r="AJ20" i="20"/>
  <c r="AN20" i="20"/>
  <c r="G18" i="14"/>
  <c r="AK20" i="20"/>
  <c r="AV20" i="20"/>
  <c r="N20" i="20"/>
  <c r="AF20" i="20"/>
  <c r="U10" i="11"/>
  <c r="BK13" i="11" l="1"/>
  <c r="W18" i="16"/>
  <c r="AL19" i="16"/>
  <c r="S18" i="16"/>
  <c r="S19" i="16" s="1"/>
  <c r="AK19" i="13"/>
  <c r="BF18" i="13"/>
  <c r="AI19" i="13"/>
  <c r="N19" i="13"/>
  <c r="BE10" i="13"/>
  <c r="BF19" i="13"/>
  <c r="Z19" i="13"/>
  <c r="L19" i="13"/>
  <c r="Y19" i="13"/>
  <c r="Q18" i="17"/>
  <c r="Q19" i="17" s="1"/>
  <c r="J12" i="12"/>
  <c r="J9" i="12"/>
  <c r="K9" i="7"/>
  <c r="BJ18" i="11"/>
  <c r="AE13" i="11"/>
  <c r="C10" i="14"/>
  <c r="K10" i="14" s="1"/>
  <c r="C15" i="14"/>
  <c r="K15" i="14" s="1"/>
  <c r="AS13" i="11"/>
  <c r="AS18" i="11"/>
  <c r="BD11" i="8"/>
  <c r="H11" i="7" s="1"/>
  <c r="BG16" i="8"/>
  <c r="K16" i="7" s="1"/>
  <c r="AH13" i="11"/>
  <c r="AH18" i="11"/>
  <c r="N12" i="11"/>
  <c r="P12" i="11" s="1"/>
  <c r="L18" i="11"/>
  <c r="AC11" i="11"/>
  <c r="E18" i="7"/>
  <c r="AI18" i="11"/>
  <c r="AV13" i="16"/>
  <c r="G13" i="16"/>
  <c r="G13" i="21"/>
  <c r="G19" i="21" s="1"/>
  <c r="E13" i="21"/>
  <c r="N13" i="21"/>
  <c r="O13" i="21"/>
  <c r="O19" i="21" s="1"/>
  <c r="AG13" i="21"/>
  <c r="AG19" i="21" s="1"/>
  <c r="AL13" i="21"/>
  <c r="AL21" i="21" s="1"/>
  <c r="AN13" i="21"/>
  <c r="AY13" i="21"/>
  <c r="BA21" i="21"/>
  <c r="AT10" i="21"/>
  <c r="AG13" i="11"/>
  <c r="G13" i="2"/>
  <c r="H13" i="2" s="1"/>
  <c r="F12" i="12"/>
  <c r="BE17" i="8"/>
  <c r="I17" i="7" s="1"/>
  <c r="AR13" i="11"/>
  <c r="AT19" i="8"/>
  <c r="K13" i="17"/>
  <c r="J13" i="17"/>
  <c r="K18" i="17"/>
  <c r="AF13" i="17"/>
  <c r="AX21" i="17"/>
  <c r="AQ10" i="17"/>
  <c r="G15" i="3"/>
  <c r="E10" i="3"/>
  <c r="AG13" i="17"/>
  <c r="AJ13" i="17"/>
  <c r="AK18" i="17"/>
  <c r="AK13" i="17"/>
  <c r="AL13" i="17"/>
  <c r="AM13" i="17"/>
  <c r="AV13" i="17"/>
  <c r="AV19" i="17" s="1"/>
  <c r="AT19" i="17"/>
  <c r="EM19" i="8"/>
  <c r="BL11" i="16"/>
  <c r="AU13" i="11"/>
  <c r="AP10" i="11"/>
  <c r="R13" i="11"/>
  <c r="R19" i="11" s="1"/>
  <c r="AD13" i="11"/>
  <c r="AF18" i="11"/>
  <c r="N13" i="17"/>
  <c r="BC21" i="21"/>
  <c r="H21" i="12"/>
  <c r="C17" i="14"/>
  <c r="K17" i="14" s="1"/>
  <c r="AZ19" i="11"/>
  <c r="AZ13" i="11"/>
  <c r="F11" i="11"/>
  <c r="AQ11" i="11" s="1"/>
  <c r="Q9" i="11"/>
  <c r="AI13" i="11"/>
  <c r="S13" i="11"/>
  <c r="T13" i="11" s="1"/>
  <c r="AT13" i="11"/>
  <c r="Q15" i="11"/>
  <c r="I13" i="11"/>
  <c r="I18" i="11"/>
  <c r="J18" i="11"/>
  <c r="AC15" i="11"/>
  <c r="AY18" i="11"/>
  <c r="E13" i="11"/>
  <c r="AP17" i="11"/>
  <c r="AV18" i="11"/>
  <c r="K18" i="11"/>
  <c r="C18" i="5"/>
  <c r="B13" i="5"/>
  <c r="J9" i="7"/>
  <c r="AN17" i="11"/>
  <c r="E15" i="3"/>
  <c r="D17" i="6"/>
  <c r="J17" i="12" s="1"/>
  <c r="J17" i="7"/>
  <c r="BI17" i="16"/>
  <c r="BI18" i="16" s="1"/>
  <c r="I10" i="3"/>
  <c r="J10" i="10"/>
  <c r="L10" i="10" s="1"/>
  <c r="D10" i="2"/>
  <c r="AO10" i="11"/>
  <c r="E10" i="6"/>
  <c r="K10" i="12" s="1"/>
  <c r="K18" i="2"/>
  <c r="L15" i="2"/>
  <c r="E13" i="2"/>
  <c r="F13" i="2" s="1"/>
  <c r="AL10" i="11"/>
  <c r="I10" i="7"/>
  <c r="AN10" i="11"/>
  <c r="L10" i="14"/>
  <c r="H10" i="2"/>
  <c r="AO10" i="17"/>
  <c r="D10" i="6"/>
  <c r="C10" i="6"/>
  <c r="I10" i="12" s="1"/>
  <c r="AN15" i="11"/>
  <c r="H15" i="2"/>
  <c r="D15" i="6"/>
  <c r="J15" i="12" s="1"/>
  <c r="B15" i="6"/>
  <c r="AO15" i="11"/>
  <c r="E15" i="6"/>
  <c r="K15" i="12" s="1"/>
  <c r="H15" i="7"/>
  <c r="J15" i="7"/>
  <c r="L15" i="14"/>
  <c r="AM15" i="11"/>
  <c r="I15" i="7"/>
  <c r="AO15" i="17"/>
  <c r="I13" i="2"/>
  <c r="AM11" i="11"/>
  <c r="I11" i="7"/>
  <c r="G18" i="2"/>
  <c r="AL18" i="11" s="1"/>
  <c r="AL15" i="11"/>
  <c r="C18" i="2"/>
  <c r="D18" i="2" s="1"/>
  <c r="K10" i="7"/>
  <c r="J15"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N19" i="21"/>
  <c r="AA18" i="21"/>
  <c r="AN21" i="21"/>
  <c r="BD19" i="21"/>
  <c r="AZ21" i="21"/>
  <c r="AC18" i="20"/>
  <c r="AC21" i="20" s="1"/>
  <c r="AX18" i="20"/>
  <c r="J18" i="20"/>
  <c r="O18" i="20"/>
  <c r="O19" i="20" s="1"/>
  <c r="AK18" i="20"/>
  <c r="AK21" i="20" s="1"/>
  <c r="BB21" i="20"/>
  <c r="AN18" i="20"/>
  <c r="AN19" i="20" s="1"/>
  <c r="AE18" i="20"/>
  <c r="AE21" i="20" s="1"/>
  <c r="AV18" i="20"/>
  <c r="AV19" i="20" s="1"/>
  <c r="AF18"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AZ10" i="11"/>
  <c r="AT18" i="11"/>
  <c r="M13" i="11"/>
  <c r="L13" i="11"/>
  <c r="L19" i="11" s="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AM19" i="21"/>
  <c r="BB21" i="21"/>
  <c r="AK13" i="21"/>
  <c r="AK19" i="21" s="1"/>
  <c r="BF13" i="13"/>
  <c r="BI19" i="13"/>
  <c r="AL19" i="13"/>
  <c r="AZ19" i="13"/>
  <c r="BD19" i="13" s="1"/>
  <c r="M19" i="13"/>
  <c r="BF17" i="13"/>
  <c r="J19" i="13"/>
  <c r="T19" i="13"/>
  <c r="BF11" i="13"/>
  <c r="I19" i="13"/>
  <c r="BF10" i="13"/>
  <c r="BD18" i="13"/>
  <c r="AF19" i="13"/>
  <c r="P19" i="13"/>
  <c r="AO21" i="20"/>
  <c r="J19" i="20"/>
  <c r="T16" i="20"/>
  <c r="S18" i="20"/>
  <c r="S19" i="20" s="1"/>
  <c r="AW19" i="21"/>
  <c r="W18" i="20"/>
  <c r="X18" i="20" s="1"/>
  <c r="L19" i="19"/>
  <c r="J19" i="19"/>
  <c r="M19" i="20"/>
  <c r="AD18" i="20"/>
  <c r="AD21" i="20" s="1"/>
  <c r="AI18" i="20"/>
  <c r="F16" i="20"/>
  <c r="N19" i="21"/>
  <c r="K19" i="19"/>
  <c r="O19" i="19"/>
  <c r="W19" i="19"/>
  <c r="AE19" i="19"/>
  <c r="BH19" i="19"/>
  <c r="BC21" i="20"/>
  <c r="AC13" i="21"/>
  <c r="AC21" i="21" s="1"/>
  <c r="Q13" i="21"/>
  <c r="Q19" i="21" s="1"/>
  <c r="BE21" i="21"/>
  <c r="AF19" i="20"/>
  <c r="AS13" i="20"/>
  <c r="I18" i="20"/>
  <c r="I19" i="20" s="1"/>
  <c r="BC19" i="21"/>
  <c r="AZ19" i="19"/>
  <c r="AD13" i="21"/>
  <c r="AD19" i="21" s="1"/>
  <c r="Z13" i="21"/>
  <c r="V13" i="21"/>
  <c r="V19" i="21" s="1"/>
  <c r="AJ13" i="21"/>
  <c r="F13" i="21"/>
  <c r="F19" i="21" s="1"/>
  <c r="Q19" i="20"/>
  <c r="AL19" i="21"/>
  <c r="CI19" i="19"/>
  <c r="AS19" i="21" s="1"/>
  <c r="EN19" i="19"/>
  <c r="AM18" i="20"/>
  <c r="AM21" i="20" s="1"/>
  <c r="EQ19" i="19"/>
  <c r="U18" i="20"/>
  <c r="J21" i="20"/>
  <c r="AT12" i="21"/>
  <c r="AI19" i="20"/>
  <c r="AH19" i="19"/>
  <c r="AH18" i="20"/>
  <c r="AH19" i="20" s="1"/>
  <c r="AO21" i="21"/>
  <c r="BG18" i="19"/>
  <c r="I13" i="21"/>
  <c r="I19" i="21" s="1"/>
  <c r="EO19" i="19"/>
  <c r="C11" i="14"/>
  <c r="K11" i="14" s="1"/>
  <c r="M19" i="2"/>
  <c r="S13" i="21"/>
  <c r="S19" i="21" s="1"/>
  <c r="AE18" i="11"/>
  <c r="AJ13" i="11"/>
  <c r="F18" i="14"/>
  <c r="AP19" i="16"/>
  <c r="E18" i="14"/>
  <c r="F13" i="14"/>
  <c r="J19" i="8"/>
  <c r="C9" i="14"/>
  <c r="AQ9" i="11"/>
  <c r="BC18" i="8"/>
  <c r="AZ18" i="8"/>
  <c r="BE18" i="13"/>
  <c r="BB19" i="13"/>
  <c r="BE19" i="13" s="1"/>
  <c r="AQ16" i="17"/>
  <c r="AG18" i="11"/>
  <c r="AK18" i="11"/>
  <c r="E13" i="14"/>
  <c r="U13" i="17"/>
  <c r="BV13" i="16"/>
  <c r="D19" i="12"/>
  <c r="AY19" i="8"/>
  <c r="BW21" i="20"/>
  <c r="P9" i="11"/>
  <c r="Q10" i="11"/>
  <c r="AQ19" i="20"/>
  <c r="D11" i="6"/>
  <c r="J11" i="12" s="1"/>
  <c r="E11" i="3"/>
  <c r="R15" i="14"/>
  <c r="BH16" i="16"/>
  <c r="AM17" i="11"/>
  <c r="BI16" i="11"/>
  <c r="BI18" i="11" s="1"/>
  <c r="BG17" i="11"/>
  <c r="BI11" i="11"/>
  <c r="P19" i="8"/>
  <c r="X19" i="21"/>
  <c r="AO11" i="17"/>
  <c r="T10" i="11"/>
  <c r="AQ18" i="21"/>
  <c r="AM10" i="11"/>
  <c r="T18" i="11"/>
  <c r="BG11" i="11"/>
  <c r="BI12" i="11"/>
  <c r="BJ9" i="11"/>
  <c r="BA19" i="19"/>
  <c r="BG19" i="19" s="1"/>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AN21" i="17"/>
  <c r="J11" i="2"/>
  <c r="F11" i="2"/>
  <c r="BE16" i="8"/>
  <c r="I16" i="7" s="1"/>
  <c r="BB18" i="8"/>
  <c r="AK13" i="11"/>
  <c r="BA18" i="8"/>
  <c r="AR19" i="13"/>
  <c r="AJ19" i="13"/>
  <c r="N18" i="17"/>
  <c r="I9" i="3"/>
  <c r="AN19" i="8"/>
  <c r="M18" i="16"/>
  <c r="BB19"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P20" i="16"/>
  <c r="AX20" i="21"/>
  <c r="BR20" i="16"/>
  <c r="H20" i="17"/>
  <c r="AO20" i="20"/>
  <c r="O10" i="11"/>
  <c r="AW20" i="11"/>
  <c r="U17" i="11"/>
  <c r="AV20" i="21"/>
  <c r="F18" i="20" l="1"/>
  <c r="F21" i="20" s="1"/>
  <c r="G20" i="21"/>
  <c r="AK19" i="20"/>
  <c r="AS16" i="20"/>
  <c r="V17" i="11"/>
  <c r="Z19" i="11"/>
  <c r="G21" i="11"/>
  <c r="AP13" i="11"/>
  <c r="AG21" i="17"/>
  <c r="AO19" i="16"/>
  <c r="K19" i="17"/>
  <c r="N19" i="2"/>
  <c r="I17" i="12"/>
  <c r="E19" i="2"/>
  <c r="H18" i="2"/>
  <c r="AO13" i="17"/>
  <c r="AU19" i="21"/>
  <c r="J21" i="17"/>
  <c r="AM18" i="11"/>
  <c r="G20" i="11"/>
  <c r="G21" i="21"/>
  <c r="D19" i="14"/>
  <c r="K19" i="2"/>
  <c r="AO18" i="17"/>
  <c r="I21" i="11"/>
  <c r="BK19" i="16"/>
  <c r="AG21" i="11"/>
  <c r="D19" i="5"/>
  <c r="N18" i="11"/>
  <c r="AK19" i="11"/>
  <c r="W19" i="11"/>
  <c r="AH19" i="11"/>
  <c r="I19" i="2"/>
  <c r="AX21" i="20"/>
  <c r="BG21" i="16"/>
  <c r="H19" i="11"/>
  <c r="AU21" i="21"/>
  <c r="AI19" i="11"/>
  <c r="BE18" i="8"/>
  <c r="I18" i="7" s="1"/>
  <c r="AF19" i="11"/>
  <c r="AI21" i="11"/>
  <c r="AC13" i="11"/>
  <c r="AA19" i="11"/>
  <c r="AE19" i="11"/>
  <c r="Q12" i="11"/>
  <c r="Y18" i="11"/>
  <c r="AO18" i="11"/>
  <c r="B18" i="6"/>
  <c r="C18" i="6"/>
  <c r="AN18" i="11"/>
  <c r="AR19" i="20"/>
  <c r="AO19" i="20"/>
  <c r="G21" i="20"/>
  <c r="AY21" i="21"/>
  <c r="AQ19" i="21"/>
  <c r="AN21" i="20"/>
  <c r="G19" i="20"/>
  <c r="BD19" i="16"/>
  <c r="G19" i="16"/>
  <c r="O19" i="16"/>
  <c r="O13" i="11"/>
  <c r="O19" i="11"/>
  <c r="AG19" i="11"/>
  <c r="AJ21" i="17"/>
  <c r="B19" i="5"/>
  <c r="J19" i="11"/>
  <c r="K16" i="12"/>
  <c r="AY19" i="21"/>
  <c r="I19" i="11"/>
  <c r="F19" i="14"/>
  <c r="E21" i="12"/>
  <c r="M19" i="11"/>
  <c r="AJ21" i="11"/>
  <c r="X19" i="11"/>
  <c r="AB19" i="11"/>
  <c r="G19" i="11"/>
  <c r="F18" i="11"/>
  <c r="B13" i="6"/>
  <c r="C19" i="2"/>
  <c r="D19" i="2" s="1"/>
  <c r="J13" i="2"/>
  <c r="C13" i="6"/>
  <c r="E18" i="6"/>
  <c r="AL13" i="11"/>
  <c r="AM13" i="11"/>
  <c r="U19" i="16"/>
  <c r="BF21" i="16"/>
  <c r="AC19" i="20"/>
  <c r="O17" i="11"/>
  <c r="AV20" i="17"/>
  <c r="Y20" i="21"/>
  <c r="Q18" i="11" l="1"/>
  <c r="M20" i="21"/>
  <c r="G20" i="12"/>
  <c r="AH20" i="21"/>
  <c r="BE20" i="21"/>
  <c r="BI20" i="16"/>
  <c r="AU20" i="16"/>
  <c r="F20" i="11"/>
  <c r="R20" i="17"/>
  <c r="K20" i="16"/>
  <c r="BC20" i="16"/>
  <c r="P20" i="16"/>
  <c r="AL20" i="17"/>
  <c r="L20" i="17"/>
  <c r="K20" i="12"/>
  <c r="H20" i="12"/>
  <c r="V20" i="17"/>
  <c r="AC20" i="21"/>
  <c r="I20" i="12"/>
  <c r="R20" i="11"/>
  <c r="AN20" i="17"/>
  <c r="U20" i="20"/>
  <c r="AE20" i="21"/>
  <c r="BK20" i="16"/>
  <c r="S20" i="21"/>
  <c r="W20" i="17"/>
  <c r="BG20" i="16"/>
  <c r="AI20" i="17"/>
  <c r="AS20" i="21"/>
  <c r="Y20" i="17"/>
  <c r="AM20" i="17"/>
  <c r="D20" i="12"/>
  <c r="BD20" i="16"/>
  <c r="Y20" i="16"/>
  <c r="AK20" i="17"/>
  <c r="AT20" i="11"/>
  <c r="T20" i="16"/>
  <c r="AM20" i="16"/>
  <c r="K20" i="17"/>
  <c r="AW20" i="16"/>
  <c r="AW20" i="21"/>
  <c r="AR20" i="17"/>
  <c r="L20" i="21"/>
  <c r="AS20" i="11"/>
  <c r="Y20" i="11"/>
  <c r="T20" i="11"/>
  <c r="AC20" i="11"/>
  <c r="AX20" i="16"/>
  <c r="Q20" i="16"/>
  <c r="N20" i="17"/>
  <c r="V20" i="21"/>
  <c r="BF20" i="16"/>
  <c r="AR20" i="16"/>
  <c r="AG20" i="11"/>
  <c r="AA20" i="17"/>
  <c r="AN20" i="16"/>
  <c r="E20" i="21"/>
  <c r="AM20" i="21"/>
  <c r="I20" i="21"/>
  <c r="AH20" i="11"/>
  <c r="U20" i="16"/>
  <c r="V20" i="16"/>
  <c r="F20" i="12"/>
  <c r="BJ20" i="16"/>
  <c r="BN20" i="16"/>
  <c r="E20" i="11"/>
  <c r="J20" i="12"/>
  <c r="U20" i="21"/>
  <c r="AZ20" i="11"/>
  <c r="AN20" i="11"/>
  <c r="AJ20" i="21"/>
  <c r="N20" i="16"/>
  <c r="Z20" i="17"/>
  <c r="AO20" i="17"/>
  <c r="Z20" i="21"/>
  <c r="S20" i="16"/>
  <c r="AD20" i="21"/>
  <c r="AB20" i="21"/>
  <c r="AI20" i="16"/>
  <c r="AS20" i="17"/>
  <c r="AI20" i="21"/>
  <c r="F20" i="17"/>
  <c r="AT20" i="20"/>
  <c r="AG20" i="16"/>
  <c r="BM20" i="16"/>
  <c r="O20" i="11"/>
  <c r="Q20" i="17"/>
  <c r="AD20" i="17"/>
  <c r="AK20" i="21"/>
  <c r="AY20" i="11"/>
  <c r="Z20" i="11"/>
  <c r="J20" i="21"/>
  <c r="J20" i="11"/>
  <c r="AR20" i="21"/>
  <c r="AF20" i="17"/>
  <c r="P20" i="11"/>
  <c r="BA20" i="16"/>
  <c r="AH20" i="16"/>
  <c r="J20" i="16"/>
  <c r="AA20" i="16"/>
  <c r="Q20" i="21"/>
  <c r="T20" i="17"/>
  <c r="AN20" i="21"/>
  <c r="AI20" i="11"/>
  <c r="E20" i="16"/>
  <c r="X20" i="16"/>
  <c r="AE20" i="11"/>
  <c r="AY20" i="16"/>
  <c r="AW20" i="17"/>
  <c r="L20" i="16"/>
  <c r="BO20" i="16"/>
  <c r="AD20" i="16"/>
  <c r="AF20" i="16"/>
  <c r="BS20" i="16"/>
  <c r="AL20" i="11"/>
  <c r="Q20" i="11"/>
  <c r="AU20" i="21"/>
  <c r="N20" i="11"/>
  <c r="W20" i="16"/>
  <c r="F20" i="21"/>
  <c r="AC20" i="17"/>
  <c r="AP20" i="17"/>
  <c r="AL20" i="16"/>
  <c r="O20" i="17"/>
  <c r="BC20" i="21"/>
  <c r="AB20" i="17"/>
  <c r="S20" i="11"/>
  <c r="AG20" i="17"/>
  <c r="M20" i="11"/>
  <c r="AS20" i="16"/>
  <c r="P20" i="17"/>
  <c r="BE20" i="16"/>
  <c r="S20" i="17"/>
  <c r="M20" i="17"/>
  <c r="J20" i="17"/>
  <c r="K20" i="21"/>
  <c r="P20" i="21"/>
  <c r="AF20" i="11"/>
  <c r="H20" i="16"/>
  <c r="AE20" i="17"/>
  <c r="H20" i="21"/>
  <c r="R20" i="21"/>
  <c r="AZ20" i="16"/>
  <c r="AU20" i="11"/>
  <c r="E20" i="12"/>
  <c r="I20" i="17"/>
  <c r="AK20" i="11"/>
  <c r="I20" i="16"/>
  <c r="V20" i="20"/>
  <c r="X20" i="21"/>
  <c r="AK20" i="16"/>
  <c r="AR20" i="11"/>
  <c r="AH20" i="17"/>
  <c r="AP20" i="21"/>
  <c r="AB20" i="16"/>
  <c r="R20" i="16"/>
  <c r="H20" i="11"/>
  <c r="AL20" i="21"/>
  <c r="V20" i="11"/>
  <c r="AC20" i="16"/>
  <c r="AJ20" i="17"/>
  <c r="U20" i="11"/>
  <c r="AO20" i="21"/>
  <c r="AG20" i="21"/>
  <c r="O20" i="21"/>
  <c r="M20" i="16"/>
  <c r="N20" i="21"/>
  <c r="AE20" i="16"/>
  <c r="AV20" i="16"/>
  <c r="Z20" i="16"/>
  <c r="BH20" i="16"/>
  <c r="AP20" i="16"/>
  <c r="K20" i="11"/>
  <c r="AQ20" i="16"/>
  <c r="BQ20" i="16"/>
  <c r="AT20" i="17"/>
  <c r="AB20" i="11"/>
  <c r="AA20" i="11"/>
  <c r="AD20" i="11"/>
  <c r="AJ20" i="11"/>
  <c r="F20" i="16"/>
  <c r="W20" i="11"/>
  <c r="AO20" i="11"/>
  <c r="X20" i="11"/>
  <c r="L20" i="11"/>
  <c r="U20" i="17"/>
  <c r="I20" i="11"/>
  <c r="BD20" i="21"/>
  <c r="AM20" i="11"/>
  <c r="AO20" i="16"/>
  <c r="AT20" i="16"/>
  <c r="AY20" i="21"/>
  <c r="AJ20" i="16"/>
  <c r="E20" i="17"/>
  <c r="AA20" i="21"/>
  <c r="AR20" i="20"/>
  <c r="AV20" i="11"/>
  <c r="AF20" i="21"/>
  <c r="BB20" i="16"/>
  <c r="O20" i="16"/>
  <c r="AA18" i="16" l="1"/>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X20" i="17"/>
  <c r="F19" i="2" l="1"/>
  <c r="BD19" i="8"/>
  <c r="V19" i="16"/>
  <c r="BG19" i="11"/>
  <c r="BV19" i="16"/>
  <c r="BV21" i="16"/>
  <c r="Q13" i="11"/>
  <c r="F21" i="11"/>
  <c r="H19" i="2"/>
  <c r="BG19" i="8"/>
  <c r="G19" i="3"/>
  <c r="I19" i="3"/>
  <c r="S19" i="17"/>
  <c r="F19" i="11"/>
  <c r="AQ19" i="11" s="1"/>
  <c r="AQ13" i="11"/>
  <c r="AQ21" i="11" s="1"/>
  <c r="F19" i="17"/>
  <c r="AQ19" i="17" s="1"/>
  <c r="F21" i="16"/>
  <c r="E19" i="6"/>
  <c r="C19" i="6"/>
  <c r="AO19" i="11"/>
  <c r="AM19" i="11"/>
  <c r="B19" i="6"/>
  <c r="H19" i="7" s="1"/>
  <c r="AL19" i="11"/>
  <c r="BL18" i="16"/>
  <c r="F19" i="16"/>
  <c r="E21" i="21"/>
  <c r="E19" i="21"/>
  <c r="AW21" i="20"/>
  <c r="AV21" i="11"/>
  <c r="C19" i="14"/>
  <c r="BF19" i="8"/>
  <c r="Z19" i="21"/>
  <c r="M19" i="16"/>
  <c r="AM21" i="11"/>
  <c r="U19" i="20"/>
  <c r="BT21" i="16"/>
  <c r="BT19" i="16"/>
  <c r="E19" i="3"/>
  <c r="AN19" i="11"/>
  <c r="D19" i="6"/>
  <c r="J19" i="21"/>
  <c r="AT19" i="21" s="1"/>
  <c r="BE19" i="8"/>
  <c r="J18" i="12"/>
  <c r="K13" i="7"/>
  <c r="K13" i="12"/>
  <c r="N19" i="11"/>
  <c r="AA21" i="21"/>
  <c r="Z21" i="21"/>
  <c r="I21" i="12"/>
  <c r="K18" i="7"/>
  <c r="K18" i="12"/>
  <c r="E21" i="16"/>
  <c r="K19" i="20" l="1"/>
  <c r="AS19" i="20" s="1"/>
  <c r="AS21" i="20"/>
  <c r="AR21" i="20" s="1"/>
  <c r="K19" i="12"/>
  <c r="AV19" i="11"/>
  <c r="I19" i="7"/>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A19" i="16"/>
  <c r="AA21" i="16"/>
  <c r="E19" i="11"/>
  <c r="AP21" i="11" l="1"/>
  <c r="AU21" i="11"/>
  <c r="AU19" i="11"/>
  <c r="AP19" i="11" s="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<sst xmlns="http://schemas.openxmlformats.org/spreadsheetml/2006/main" count="2066" uniqueCount="906">
  <si>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</si>
  <si>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</si>
  <si>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</si>
  <si>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</si>
  <si>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</si>
  <si>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</si>
  <si>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</si>
  <si>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</si>
  <si>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</si>
  <si>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</si>
  <si>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</si>
  <si>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</si>
  <si>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</si>
  <si>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</si>
  <si>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</si>
  <si>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</si>
  <si>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</si>
  <si>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</si>
  <si>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</si>
  <si>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</si>
  <si>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</si>
  <si>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</si>
  <si>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</si>
  <si>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</si>
  <si>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</si>
  <si>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</si>
  <si>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</si>
  <si>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</si>
  <si>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</si>
  <si>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</si>
  <si>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</si>
  <si>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</si>
  <si>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</si>
  <si>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</si>
  <si>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</si>
  <si>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</si>
  <si>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</si>
  <si>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</si>
  <si>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</si>
  <si>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</si>
  <si>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</si>
  <si>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</si>
  <si>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</si>
  <si>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</si>
  <si>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</si>
  <si>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</si>
  <si>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</si>
  <si>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</si>
  <si>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</si>
  <si>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</si>
  <si>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</si>
  <si>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</si>
  <si>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</si>
  <si>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</si>
  <si>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</si>
  <si>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</si>
  <si>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</si>
  <si>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</si>
  <si>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</si>
  <si>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</si>
  <si>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</si>
  <si>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</si>
  <si>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</si>
  <si>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</si>
  <si>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</si>
  <si>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</si>
  <si>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</si>
  <si>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</si>
  <si>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</si>
  <si>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</si>
  <si>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</si>
  <si>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</si>
  <si>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</si>
  <si>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</si>
  <si>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</si>
  <si>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</si>
  <si>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</si>
  <si>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</si>
  <si>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</si>
  <si>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</si>
  <si>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</si>
  <si>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</si>
  <si>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</si>
  <si>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</si>
  <si>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</si>
  <si>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</si>
  <si>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</si>
  <si>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</si>
  <si>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</si>
  <si>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</si>
  <si>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</si>
  <si>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</si>
  <si>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</si>
  <si>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</si>
  <si>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</si>
  <si>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</si>
  <si>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</si>
  <si>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</si>
  <si>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</si>
  <si>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</si>
  <si>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</si>
  <si>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</si>
  <si>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</si>
  <si>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</si>
  <si>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</si>
  <si>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</si>
  <si>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</si>
  <si>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</si>
  <si>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</si>
  <si>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</si>
  <si>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</si>
  <si>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</si>
  <si>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</si>
  <si>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</si>
  <si>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</si>
  <si>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</si>
  <si>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</si>
  <si>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</si>
  <si>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</si>
  <si>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</si>
  <si>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</si>
  <si>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</si>
  <si>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</si>
  <si>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</si>
  <si>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</si>
  <si>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</si>
  <si>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</si>
  <si>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</si>
  <si>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</si>
  <si>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</si>
  <si>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</si>
  <si>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</si>
  <si>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</si>
  <si>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</si>
  <si>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</si>
  <si>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</si>
  <si>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</si>
  <si>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</si>
  <si>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</si>
  <si>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</si>
  <si>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</si>
  <si>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</si>
  <si>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</si>
  <si>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</si>
  <si>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</si>
  <si>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</si>
  <si>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</si>
  <si>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</si>
  <si>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</si>
  <si>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</si>
  <si>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</si>
  <si>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</si>
  <si>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</si>
  <si>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</si>
  <si>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</si>
  <si>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</si>
  <si>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</si>
  <si>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</si>
  <si>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</si>
  <si>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</si>
  <si>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</si>
  <si>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</si>
  <si>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</si>
  <si>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</si>
  <si>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</si>
  <si>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</si>
  <si>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</si>
  <si>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</si>
  <si>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</si>
  <si>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</si>
  <si>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</si>
  <si>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</si>
  <si>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</si>
  <si>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</si>
  <si>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</si>
  <si>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</si>
  <si>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</si>
  <si>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</si>
  <si>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</si>
  <si>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</si>
  <si>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</si>
  <si>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</si>
  <si>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</si>
  <si>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</si>
  <si>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</si>
  <si>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</si>
  <si>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</si>
  <si>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</si>
  <si>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</si>
  <si>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</si>
  <si>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</si>
  <si>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</si>
  <si>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</si>
  <si>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</si>
  <si>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</si>
  <si>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</si>
  <si>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</si>
  <si>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</si>
  <si>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</si>
  <si>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</si>
  <si>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</si>
  <si>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</si>
  <si>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</si>
  <si>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</si>
  <si>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</si>
  <si>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</si>
  <si>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</si>
  <si>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</si>
  <si>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</si>
  <si>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</si>
  <si>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</si>
  <si>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</si>
  <si>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</si>
  <si>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</si>
  <si>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</si>
  <si>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</si>
  <si>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</si>
  <si>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</si>
  <si>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</si>
  <si>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</si>
  <si>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</si>
  <si>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</si>
  <si>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</si>
  <si>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</si>
  <si>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</si>
  <si>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</si>
  <si>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</si>
  <si>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</si>
  <si>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</si>
  <si>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</si>
  <si>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</si>
  <si>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</si>
  <si>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</si>
  <si>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</si>
  <si>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</si>
  <si>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</si>
  <si>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</si>
  <si>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</si>
  <si>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</si>
  <si>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</si>
  <si>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</si>
  <si>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</si>
  <si>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</si>
  <si>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</si>
  <si>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</si>
  <si>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</si>
  <si>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</si>
  <si>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</si>
  <si>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</si>
  <si>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</si>
  <si>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</si>
  <si>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</si>
  <si>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</si>
  <si>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</si>
  <si>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</si>
  <si>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</si>
  <si>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</si>
  <si>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</si>
  <si>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</si>
  <si>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</si>
  <si>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</si>
  <si>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</si>
  <si>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</si>
  <si>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</si>
  <si>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</si>
  <si>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</si>
  <si>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</si>
  <si>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</si>
  <si>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</si>
  <si>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</si>
  <si>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</si>
  <si>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</si>
  <si>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</si>
  <si>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</si>
  <si>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</si>
  <si>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</si>
  <si>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</si>
  <si>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</si>
  <si>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</si>
  <si>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</si>
  <si>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</si>
  <si>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</si>
  <si>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</si>
  <si>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</si>
  <si>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</si>
  <si>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</si>
  <si>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</si>
  <si>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</si>
  <si>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</si>
  <si>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</si>
  <si>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</si>
  <si>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</si>
  <si>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</si>
  <si>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</si>
  <si>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</si>
  <si>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</si>
  <si>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</si>
  <si>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</si>
  <si>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</si>
  <si>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</si>
  <si>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</si>
  <si>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</si>
  <si>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</si>
  <si>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</si>
  <si>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</si>
  <si>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</si>
  <si>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</si>
  <si>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</si>
  <si>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</si>
  <si>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</si>
  <si>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</si>
  <si>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</si>
  <si>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</si>
  <si>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</si>
  <si>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</si>
  <si>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</si>
  <si>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</si>
  <si>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</si>
  <si>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</si>
  <si>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</si>
  <si>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</si>
  <si>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</si>
  <si>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</si>
  <si>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</si>
  <si>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</si>
  <si>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</si>
  <si>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</si>
  <si>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</si>
  <si>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</si>
  <si>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</si>
  <si>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</si>
  <si>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</si>
  <si>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</si>
  <si>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</si>
  <si>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</si>
  <si>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</si>
  <si>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</si>
  <si>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</si>
  <si>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</si>
  <si>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</si>
  <si>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</si>
  <si>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</si>
  <si>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</si>
  <si>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</si>
  <si>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</si>
  <si>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</si>
  <si>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</si>
  <si>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</si>
  <si>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</si>
  <si>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</si>
  <si>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</si>
  <si>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</si>
  <si>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</si>
  <si>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</si>
  <si>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</si>
  <si>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</si>
  <si>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</si>
  <si>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</si>
  <si>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</si>
  <si>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</si>
  <si>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</si>
  <si>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</si>
  <si>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</si>
  <si>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</si>
  <si>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</si>
  <si>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</si>
  <si>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</si>
  <si>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</si>
  <si>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</si>
  <si>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</si>
  <si>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</si>
  <si>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</si>
  <si>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</si>
  <si>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</si>
  <si>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</si>
  <si>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</si>
  <si>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</si>
  <si>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</si>
  <si>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</si>
  <si>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</si>
  <si>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</si>
  <si>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</si>
  <si>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</si>
  <si>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</si>
  <si>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</si>
  <si>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</si>
  <si>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</si>
  <si>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</si>
  <si>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</si>
  <si>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</si>
  <si>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</si>
  <si>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</si>
  <si>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</si>
  <si>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</si>
  <si>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</si>
  <si>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</si>
  <si>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</si>
  <si>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</si>
  <si>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</si>
  <si>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</si>
  <si>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</si>
  <si>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</si>
  <si>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</si>
  <si>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</si>
  <si>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</si>
  <si>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</si>
  <si>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</si>
  <si>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</si>
  <si>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</si>
  <si>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</si>
  <si>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</si>
  <si>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</si>
  <si>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</si>
  <si>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</si>
  <si>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</si>
  <si>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</si>
  <si>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</si>
  <si>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</si>
  <si>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</si>
  <si>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</si>
  <si>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</si>
  <si>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</si>
  <si>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</si>
  <si>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</si>
  <si>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</si>
  <si>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</si>
  <si>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</si>
  <si>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</si>
  <si>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</si>
  <si>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</si>
  <si>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</si>
  <si>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</si>
  <si>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</si>
  <si>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</si>
  <si>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</si>
  <si>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</si>
  <si>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</si>
  <si>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</si>
  <si>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</si>
  <si>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</si>
  <si>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</si>
  <si>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</si>
  <si>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</si>
  <si>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</si>
  <si>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</si>
  <si>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</si>
  <si>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</si>
  <si>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</si>
  <si>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</si>
  <si>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</si>
  <si>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</si>
  <si>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</si>
  <si>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</si>
  <si>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</si>
  <si>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</si>
  <si>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</si>
  <si>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</si>
  <si>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</si>
  <si>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</si>
  <si>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</si>
  <si>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</si>
  <si>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</si>
  <si>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</si>
  <si>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</si>
  <si>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</si>
  <si>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</si>
  <si>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</si>
  <si>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</si>
  <si>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</si>
  <si>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</si>
  <si>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</si>
  <si>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</si>
  <si>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</si>
  <si>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</si>
  <si>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</si>
  <si>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</si>
  <si>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</si>
  <si>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</si>
  <si>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</si>
  <si>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</si>
  <si>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</si>
  <si>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</si>
  <si>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</si>
  <si>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</si>
  <si>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</si>
  <si>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</si>
  <si>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</si>
  <si>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</si>
  <si>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</si>
  <si>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</si>
  <si>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</si>
  <si>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</si>
  <si>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</si>
  <si>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</si>
  <si>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</si>
  <si>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</si>
  <si>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</si>
  <si>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</si>
  <si>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</si>
  <si>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</si>
  <si>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</si>
  <si>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</si>
  <si>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</si>
  <si>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</si>
  <si>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</si>
  <si>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</si>
  <si>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</si>
  <si>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</si>
  <si>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</si>
  <si>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</si>
  <si>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</si>
  <si>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</si>
  <si>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</si>
  <si>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</si>
  <si>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</si>
  <si>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</si>
  <si>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</si>
  <si>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</si>
  <si>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</si>
  <si>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</si>
  <si>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</si>
  <si>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</si>
  <si>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</si>
  <si>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</si>
  <si>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</si>
  <si>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</si>
  <si>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</si>
  <si>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</si>
  <si>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</si>
  <si>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</si>
  <si>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</si>
  <si>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</si>
  <si>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</si>
  <si>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</si>
  <si>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</si>
  <si>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</si>
  <si>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</si>
  <si>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</si>
  <si>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</si>
  <si>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</si>
  <si>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</si>
  <si>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</si>
  <si>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</si>
  <si>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</si>
  <si>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</si>
  <si>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</si>
  <si>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</si>
  <si>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</si>
  <si>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</si>
  <si>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</si>
  <si>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</si>
  <si>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</si>
  <si>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</si>
  <si>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</si>
  <si>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</si>
  <si>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</si>
  <si>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</si>
  <si>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</si>
  <si>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</si>
  <si>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</si>
  <si>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</si>
  <si>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</si>
  <si>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</si>
  <si>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</si>
  <si>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</si>
  <si>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</si>
  <si>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</si>
  <si>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</si>
  <si>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</si>
  <si>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</si>
  <si>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</si>
  <si>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</si>
  <si>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</si>
  <si>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</si>
  <si>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</si>
  <si>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</si>
  <si>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</si>
  <si>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</si>
  <si>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</si>
  <si>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</si>
  <si>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</si>
  <si>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</si>
  <si>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</si>
  <si>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</si>
  <si>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</si>
  <si>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</si>
  <si>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</si>
  <si>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</si>
  <si>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</si>
  <si>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</si>
  <si>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</si>
  <si>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</si>
  <si>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</si>
  <si>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</si>
  <si>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</si>
  <si>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</si>
  <si>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</si>
  <si>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</si>
  <si>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</si>
  <si>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</si>
  <si>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</si>
  <si>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</si>
  <si>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</si>
  <si>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</si>
  <si>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</si>
  <si>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</si>
  <si>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</si>
  <si>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</si>
  <si>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</si>
  <si>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</si>
  <si>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</si>
  <si>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</si>
  <si>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</si>
  <si>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</si>
  <si>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</si>
  <si>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</si>
  <si>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</si>
  <si>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</si>
  <si>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</si>
  <si>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</si>
  <si>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</si>
  <si>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</si>
  <si>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</si>
  <si>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</si>
  <si>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</si>
  <si>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</si>
  <si>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</si>
  <si>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</si>
  <si>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</si>
  <si>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</si>
  <si>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</si>
  <si>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</si>
  <si>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</si>
  <si>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</si>
  <si>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</si>
  <si>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</si>
  <si>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</si>
  <si>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</si>
  <si>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</si>
  <si>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</si>
  <si>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</si>
  <si>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</si>
  <si>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</si>
  <si>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</si>
  <si>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</si>
  <si>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</si>
  <si>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</si>
  <si>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</si>
  <si>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</si>
  <si>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</si>
  <si>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</si>
  <si>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</si>
  <si>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</si>
  <si>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</si>
  <si>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</si>
  <si>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</si>
  <si>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</si>
  <si>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</si>
  <si>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</si>
  <si>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</si>
  <si>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</si>
  <si>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</si>
  <si>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</si>
  <si>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</si>
  <si>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</si>
  <si>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</si>
  <si>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</si>
  <si>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</si>
  <si>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</si>
  <si>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</si>
  <si>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</si>
  <si>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</si>
  <si>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</si>
  <si>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</si>
  <si>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</si>
  <si>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</si>
  <si>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</si>
  <si>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</si>
  <si>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</si>
  <si>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</si>
  <si>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</si>
  <si>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</si>
  <si>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</si>
  <si>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</si>
  <si>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</si>
  <si>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</si>
  <si>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</si>
  <si>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</si>
  <si>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</si>
  <si>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</si>
  <si>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</si>
  <si>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</si>
  <si>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</si>
  <si>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</si>
  <si>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</si>
  <si>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</si>
  <si>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</si>
  <si>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</si>
  <si>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</si>
  <si>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</si>
  <si>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</si>
  <si>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</si>
  <si>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</si>
  <si>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</si>
  <si>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</si>
  <si>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</si>
  <si>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</si>
  <si>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</si>
  <si>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</si>
  <si>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</si>
  <si>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</si>
  <si>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</si>
  <si>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</si>
  <si>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</si>
  <si>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</si>
  <si>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</si>
  <si>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</si>
  <si>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</si>
  <si>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</si>
  <si>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</si>
  <si>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</si>
  <si>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</si>
  <si>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</si>
  <si>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</si>
  <si>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</si>
  <si>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</si>
  <si>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</si>
  <si>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</si>
  <si>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</si>
  <si>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</si>
  <si>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</si>
  <si>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</si>
  <si>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</si>
  <si>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</si>
  <si>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</si>
  <si>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</si>
  <si>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</si>
  <si>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</si>
  <si>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</si>
  <si>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</si>
  <si>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</si>
  <si>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</si>
  <si>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</si>
  <si>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</si>
  <si>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</si>
  <si>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</si>
  <si>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</si>
  <si>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</si>
  <si>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</si>
  <si>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</si>
  <si>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</si>
  <si>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</si>
  <si>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</si>
  <si>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</si>
  <si>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</si>
  <si>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</si>
  <si>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</si>
  <si>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</si>
  <si>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</si>
  <si>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</si>
  <si>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</si>
  <si>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</si>
  <si>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</si>
  <si>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</si>
  <si>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</si>
  <si>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</si>
  <si>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</si>
  <si>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</si>
  <si>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</si>
  <si>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</si>
  <si>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</si>
  <si>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</si>
  <si>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</si>
  <si>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</si>
  <si>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</si>
  <si>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</si>
  <si>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</si>
  <si>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</si>
  <si>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</si>
  <si>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</si>
  <si>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</si>
  <si>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</si>
  <si>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</si>
  <si>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</si>
  <si>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</si>
  <si>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</si>
  <si>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</si>
  <si>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</si>
  <si>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</si>
  <si>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</si>
  <si>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</si>
  <si>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</si>
  <si>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</si>
  <si>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</si>
  <si>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</si>
  <si>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</si>
  <si>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</si>
  <si>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</si>
  <si>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</si>
  <si>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</si>
  <si>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</si>
  <si>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</si>
  <si>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</si>
  <si>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</si>
  <si>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</si>
  <si>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</si>
  <si>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</si>
  <si>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</si>
  <si>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</si>
  <si>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</si>
  <si>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</si>
  <si>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</si>
  <si>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</si>
  <si>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</si>
  <si>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</si>
  <si>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</si>
  <si>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</si>
  <si>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</si>
  <si>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</si>
  <si>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</si>
  <si>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</si>
  <si>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</si>
  <si>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</si>
  <si>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</si>
  <si>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</si>
  <si>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</si>
  <si>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</si>
  <si>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</si>
  <si>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</si>
  <si>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</si>
  <si>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</si>
  <si>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</si>
  <si>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</si>
  <si>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</si>
  <si>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</si>
  <si>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</si>
  <si>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</si>
  <si>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</si>
  <si>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</si>
  <si>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</si>
  <si>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</si>
  <si>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</si>
  <si>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</si>
  <si>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</si>
  <si>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</si>
  <si>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</si>
  <si>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</si>
  <si>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</si>
  <si>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</si>
  <si>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</si>
  <si>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</si>
  <si>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</si>
  <si>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</si>
  <si>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</si>
  <si>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</si>
  <si>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</si>
  <si>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</si>
  <si>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</si>
  <si>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</si>
  <si>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</si>
  <si>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</si>
  <si>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</si>
  <si>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</si>
  <si>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</si>
  <si>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</si>
  <si>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</si>
  <si>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</si>
  <si>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</si>
  <si>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</si>
  <si>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</si>
  <si>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</si>
  <si>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</si>
  <si>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</si>
  <si>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</si>
  <si>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</si>
  <si>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</si>
  <si>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</si>
  <si>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</si>
  <si>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</si>
  <si>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</si>
  <si>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</si>
  <si>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</si>
  <si>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</si>
  <si>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</si>
  <si>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</si>
  <si>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</si>
  <si>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</si>
  <si>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</si>
  <si>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</si>
  <si>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</si>
  <si>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</si>
  <si>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</si>
  <si>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</si>
  <si>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</si>
  <si>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</si>
  <si>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</si>
  <si>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</si>
  <si>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</si>
  <si>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</si>
  <si>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09 may. 2024</t>
  </si>
  <si>
    <t>Tribunales de Justicia</t>
  </si>
  <si>
    <t>CASTILLA Y LEÓN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</si>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</sst>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1</v>
      </c>
    </row>
    <row r="5" spans="1:19" ht="15.75" thickBot="1">
      <c r="A5" s="368" t="s">
        <v>37</v>
      </c>
      <c r="B5" s="369">
        <v>2023</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LEÓN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2023      Trimestre   1 al 4</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6.9232587743226048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28</v>
      </c>
      <c r="D10" s="225">
        <f>IF(ISNUMBER(Datos!I10),Datos!I10," - ")</f>
        <v>28</v>
      </c>
      <c r="E10" s="226">
        <f>IF(ISNUMBER(Datos!J10),Datos!J10," - ")</f>
        <v>57</v>
      </c>
      <c r="F10" s="226">
        <f>IF(ISNUMBER(Datos!K10),Datos!K10," - ")</f>
        <v>61</v>
      </c>
      <c r="G10" s="1034" t="str">
        <f>IF(Datos!E10&lt;&gt;"",Datos!E10,Datos!D10)</f>
        <v>37</v>
      </c>
      <c r="H10" s="227">
        <f>IF(ISNUMBER(Datos!L10),Datos!L10," - ")</f>
        <v>24</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4.3278688524590159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0.98053278688524592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28</v>
      </c>
      <c r="D13" s="1049">
        <f>SUBTOTAL(9,D9:D12)</f>
        <v>28</v>
      </c>
      <c r="E13" s="1050">
        <f>SUBTOTAL(9,E9:E12)</f>
        <v>57</v>
      </c>
      <c r="F13" s="1051">
        <f>SUBTOTAL(9,F9:F12)</f>
        <v>61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379</v>
      </c>
      <c r="D15" s="225">
        <f>IF(ISNUMBER(IF(D_I="SI",Datos!I15,Datos!I15+Datos!AC15)),IF(D_I="SI",Datos!I15,Datos!I15+Datos!AC15)," - ")</f>
        <v>472</v>
      </c>
      <c r="E15" s="226">
        <f>IF(ISNUMBER(IF(D_I="SI",Datos!J15,Datos!J15+Datos!AD15)),IF(D_I="SI",Datos!J15,Datos!J15+Datos!AD15)," - ")</f>
        <v>5344</v>
      </c>
      <c r="F15" s="226">
        <f>IF(ISNUMBER(IF(D_I="SI",Datos!K15,Datos!K15+Datos!AE15)),IF(D_I="SI",Datos!K15,Datos!K15+Datos!AE15)," - ")</f>
        <v>3872</v>
      </c>
      <c r="G15" s="1034" t="str">
        <f>IF(Datos!E15&lt;&gt;"",Datos!E15,Datos!D15)</f>
        <v>03</v>
      </c>
      <c r="H15" s="227">
        <f>IF(ISNUMBER(IF(D_I="SI",Datos!L15,Datos!L15+Datos!AF15)),IF(D_I="SI",Datos!L15,Datos!L15+Datos!AF15)," - ")</f>
        <v>1851</v>
      </c>
      <c r="I15" s="1044" t="str">
        <f>IF(ISNUMBER(Datos!AS15/Datos!BM15),Datos!AS15/Datos!BM15," - ")</f>
        <v xml:space="preserve"> - </v>
      </c>
      <c r="J15" s="1045">
        <f>IF(ISNUMBER(Datos!BY15/Datos!CN15),Datos!BY15/Datos!CN15," - ")</f>
        <v>0</v>
      </c>
      <c r="K15" s="230">
        <f t="shared" ref="K15:K17" si="3">IF(ISNUMBER((E15-F15)/C15),(E15-F15)/C15," - ")</f>
        <v>3.8839050131926123</v>
      </c>
      <c r="L15" s="1025">
        <f>IF(ISNUMBER(NºAsuntos!I15/NºAsuntos!G15),(NºAsuntos!I15/NºAsuntos!G15)*11," - ")</f>
        <v>5.2585227272727275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875</v>
      </c>
      <c r="D16" s="225">
        <f>IF(ISNUMBER(IF(D_I="SI",Datos!I16,Datos!I16+Datos!AC16)),IF(D_I="SI",Datos!I16,Datos!I16+Datos!AC16)," - ")</f>
        <v>868</v>
      </c>
      <c r="E16" s="226">
        <f>IF(ISNUMBER(IF(D_I="SI",Datos!J16,Datos!J16+Datos!AD16)),IF(D_I="SI",Datos!J16,Datos!J16+Datos!AD16)," - ")</f>
        <v>273</v>
      </c>
      <c r="F16" s="226">
        <f>IF(ISNUMBER(IF(D_I="SI",Datos!K16,Datos!K16+Datos!AE16)),IF(D_I="SI",Datos!K16,Datos!K16+Datos!AE16)," - ")</f>
        <v>862</v>
      </c>
      <c r="G16" s="1034" t="str">
        <f>IF(Datos!E16&lt;&gt;"",Datos!E16,Datos!D16)</f>
        <v>04</v>
      </c>
      <c r="H16" s="227">
        <f>IF(ISNUMBER(IF(D_I="SI",Datos!L16,Datos!L16+Datos!AF16)),IF(D_I="SI",Datos!L16,Datos!L16+Datos!AF16)," - ")</f>
        <v>286</v>
      </c>
      <c r="I16" s="1044" t="str">
        <f>IF(ISNUMBER(Datos!AS16/Datos!BM16),Datos!AS16/Datos!BM16," - ")</f>
        <v xml:space="preserve"> - </v>
      </c>
      <c r="J16" s="1045">
        <f>IF(ISNUMBER(Datos!BY16/Datos!CN16),Datos!BY16/Datos!CN16," - ")</f>
        <v>0</v>
      </c>
      <c r="K16" s="230">
        <f t="shared" si="3"/>
        <v>-0.67314285714285715</v>
      </c>
      <c r="L16" s="1025">
        <f>IF(ISNUMBER(NºAsuntos!I16/NºAsuntos!G16),(NºAsuntos!I16/NºAsuntos!G16)*11," - ")</f>
        <v>3.6496519721577725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86</v>
      </c>
      <c r="D17" s="225">
        <f>IF(ISNUMBER(IF(D_I="SI",Datos!I17,Datos!I17+Datos!AC17)),IF(D_I="SI",Datos!I17,Datos!I17+Datos!AC17)," - ")</f>
        <v>107</v>
      </c>
      <c r="E17" s="226">
        <f>IF(ISNUMBER(IF(D_I="SI",Datos!J17,Datos!J17+Datos!AD17)),IF(D_I="SI",Datos!J17,Datos!J17+Datos!AD17)," - ")</f>
        <v>461</v>
      </c>
      <c r="F17" s="226">
        <f>IF(ISNUMBER(IF(D_I="SI",Datos!K17,Datos!K17+Datos!AE17)),IF(D_I="SI",Datos!K17,Datos!K17+Datos!AE17)," - ")</f>
        <v>334</v>
      </c>
      <c r="G17" s="1034" t="str">
        <f>IF(Datos!E17&lt;&gt;"",Datos!E17,Datos!D17)</f>
        <v>37</v>
      </c>
      <c r="H17" s="227">
        <f>IF(ISNUMBER(IF(D_I="SI",Datos!L17,Datos!L17+Datos!AF17)),IF(D_I="SI",Datos!L17,Datos!L17+Datos!AF17)," - ")</f>
        <v>213</v>
      </c>
      <c r="I17" s="1044" t="str">
        <f>IF(ISNUMBER(Datos!AS17/Datos!BM17),Datos!AS17/Datos!BM17," - ")</f>
        <v xml:space="preserve"> - </v>
      </c>
      <c r="J17" s="1045" t="str">
        <f>IF(ISNUMBER((Datos!BY17+Datos!BZ17)/Datos!CN17),(Datos!BY17+Datos!BZ17)/Datos!CN17," - ")</f>
        <v xml:space="preserve"> - </v>
      </c>
      <c r="K17" s="230">
        <f t="shared" si="3"/>
        <v>1.4767441860465116</v>
      </c>
      <c r="L17" s="1025">
        <f>IF(ISNUMBER(NºAsuntos!I17/NºAsuntos!G17),(NºAsuntos!I17/NºAsuntos!G17)*11," - ")</f>
        <v>7.0149700598802394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1340</v>
      </c>
      <c r="D18" s="1049">
        <f>SUBTOTAL(9,D15:D17)</f>
        <v>1447</v>
      </c>
      <c r="E18" s="1050">
        <f>SUBTOTAL(9,E15:E17)</f>
        <v>6078</v>
      </c>
      <c r="F18" s="1050">
        <f>SUBTOTAL(9,F15:F17)</f>
        <v>5068</v>
      </c>
      <c r="G18" s="1052" t="str">
        <f ca="1">INDIRECT(CONCATENATE("G",ROW()-1))</f>
        <v>37</v>
      </c>
      <c r="H18" s="1053">
        <f ca="1">SUMIF(G$14:G17,G18,H$14:H17)</f>
        <v>213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1368</v>
      </c>
      <c r="D19" s="1071">
        <f>SUBTOTAL(9,D9:D18)</f>
        <v>1475</v>
      </c>
      <c r="E19" s="1072">
        <f>SUBTOTAL(9,E9:E18)</f>
        <v>6135</v>
      </c>
      <c r="F19" s="1072">
        <f>SUBTOTAL(9,F9:F18)</f>
        <v>5129</v>
      </c>
      <c r="G19" s="1073"/>
      <c r="H19" s="1074">
        <f ca="1">SUMIF(B9:B18,"TOTAL",H9:H18)</f>
        <v>213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09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LEÓN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2023                  Trimestre   1 al 4</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1390</v>
      </c>
      <c r="J9" s="181">
        <v>7121</v>
      </c>
      <c r="K9" s="181">
        <v>5060</v>
      </c>
      <c r="L9" s="181">
        <v>3408</v>
      </c>
      <c r="M9" s="181">
        <v>1473</v>
      </c>
      <c r="N9" s="181">
        <v>1706</v>
      </c>
      <c r="O9" s="181">
        <v>2101</v>
      </c>
      <c r="P9" s="181">
        <v>1260</v>
      </c>
      <c r="Q9" s="181">
        <v>436</v>
      </c>
      <c r="R9" s="181">
        <v>4718</v>
      </c>
      <c r="S9" s="181">
        <v>0</v>
      </c>
      <c r="T9" s="181">
        <v>0</v>
      </c>
      <c r="U9" s="181">
        <v>0</v>
      </c>
      <c r="V9" s="181">
        <v>0</v>
      </c>
      <c r="W9" s="181">
        <v>0</v>
      </c>
      <c r="X9" s="188">
        <v>0</v>
      </c>
      <c r="Y9" s="191">
        <v>38</v>
      </c>
      <c r="Z9" s="181">
        <v>451</v>
      </c>
      <c r="AA9" s="181">
        <v>439</v>
      </c>
      <c r="AB9" s="181">
        <v>53</v>
      </c>
      <c r="AC9" s="181">
        <v>0</v>
      </c>
      <c r="AD9" s="181">
        <v>0</v>
      </c>
      <c r="AE9" s="181">
        <v>0</v>
      </c>
      <c r="AF9" s="188">
        <v>0</v>
      </c>
      <c r="AG9" s="191">
        <v>0</v>
      </c>
      <c r="AH9" s="181">
        <v>0</v>
      </c>
      <c r="AI9" s="181">
        <v>0</v>
      </c>
      <c r="AJ9" s="192">
        <v>0</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f>IF(ISNUMBER(X9),X9," - ")</f>
        <v>0</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28</v>
      </c>
      <c r="J10" s="181">
        <v>57</v>
      </c>
      <c r="K10" s="181">
        <v>61</v>
      </c>
      <c r="L10" s="181">
        <v>24</v>
      </c>
      <c r="M10" s="181">
        <v>25</v>
      </c>
      <c r="N10" s="181">
        <v>8</v>
      </c>
      <c r="O10" s="181">
        <v>6</v>
      </c>
      <c r="P10" s="181">
        <v>1</v>
      </c>
      <c r="Q10" s="181">
        <v>1</v>
      </c>
      <c r="R10" s="181">
        <v>44</v>
      </c>
      <c r="S10" s="181">
        <v>36</v>
      </c>
      <c r="T10" s="181">
        <v>58</v>
      </c>
      <c r="U10" s="181">
        <v>66</v>
      </c>
      <c r="V10" s="181">
        <v>28</v>
      </c>
      <c r="W10" s="181">
        <v>44</v>
      </c>
      <c r="X10" s="188">
        <v>13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36</v>
      </c>
      <c r="AZ10" s="129">
        <f t="shared" si="0"/>
        <v>58</v>
      </c>
      <c r="BA10" s="129">
        <f t="shared" si="0"/>
        <v>66</v>
      </c>
      <c r="BB10" s="129">
        <f t="shared" si="0"/>
        <v>28</v>
      </c>
      <c r="BC10" s="125">
        <f t="shared" si="0"/>
        <v>44</v>
      </c>
      <c r="BD10" s="126">
        <f>IF(ISNUMBER(BA10/AZ10),BA10/AZ10," - ")</f>
        <v>1.1379310344827587</v>
      </c>
      <c r="BE10" s="127">
        <f>IF(ISNUMBER(BB10/BA10),BB10/BA10, " - ")</f>
        <v>0.42424242424242425</v>
      </c>
      <c r="BF10" s="127">
        <f>IF(ISNUMBER(BC10/BA10),BC10/BA10, " - ")</f>
        <v>0.66666666666666663</v>
      </c>
      <c r="BG10" s="196">
        <f>IF(ISNUMBER((AY10+AZ10)/BA10),(AY10+AZ10)/BA10," - ")</f>
        <v>1.4242424242424243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868</v>
      </c>
      <c r="J12" s="183">
        <v>163</v>
      </c>
      <c r="K12" s="183">
        <v>941</v>
      </c>
      <c r="L12" s="183">
        <v>87</v>
      </c>
      <c r="M12" s="183">
        <v>258</v>
      </c>
      <c r="N12" s="183">
        <v>332</v>
      </c>
      <c r="O12" s="181">
        <v>602</v>
      </c>
      <c r="P12" s="183">
        <v>0</v>
      </c>
      <c r="Q12" s="183">
        <v>435</v>
      </c>
      <c r="R12" s="183">
        <v>1915</v>
      </c>
      <c r="S12" s="183">
        <v>2089</v>
      </c>
      <c r="T12" s="183">
        <v>5232</v>
      </c>
      <c r="U12" s="183">
        <v>5472</v>
      </c>
      <c r="V12" s="183">
        <v>2258</v>
      </c>
      <c r="W12" s="183">
        <v>1416</v>
      </c>
      <c r="X12" s="189">
        <v>1938</v>
      </c>
      <c r="Y12" s="191">
        <v>15</v>
      </c>
      <c r="Z12" s="181">
        <v>17</v>
      </c>
      <c r="AA12" s="181">
        <v>35</v>
      </c>
      <c r="AB12" s="181">
        <v>0</v>
      </c>
      <c r="AC12" s="183">
        <v>0</v>
      </c>
      <c r="AD12" s="183">
        <v>0</v>
      </c>
      <c r="AE12" s="183">
        <v>0</v>
      </c>
      <c r="AF12" s="189">
        <v>0</v>
      </c>
      <c r="AG12" s="202">
        <v>79</v>
      </c>
      <c r="AH12" s="183">
        <v>521</v>
      </c>
      <c r="AI12" s="183">
        <v>553</v>
      </c>
      <c r="AJ12" s="203">
        <v>53</v>
      </c>
      <c r="AK12" s="182">
        <v>0</v>
      </c>
      <c r="AL12" s="183">
        <v>0</v>
      </c>
      <c r="AM12" s="183">
        <v>0</v>
      </c>
      <c r="AN12" s="189">
        <v>0</v>
      </c>
      <c r="AO12" s="259">
        <v>0</v>
      </c>
      <c r="AP12" s="155">
        <v>0</v>
      </c>
      <c r="AQ12" s="155">
        <v>0</v>
      </c>
      <c r="AR12" s="154">
        <v>0</v>
      </c>
      <c r="AS12" s="340" t="s">
        <v>794</v>
      </c>
      <c r="AT12" s="203"/>
      <c r="AU12" s="202"/>
      <c r="AV12" s="203"/>
      <c r="AW12" s="202"/>
      <c r="AX12" s="203"/>
      <c r="AY12" s="126">
        <f t="shared" si="1"/>
        <v>2168</v>
      </c>
      <c r="AZ12" s="127">
        <f t="shared" si="1"/>
        <v>5753</v>
      </c>
      <c r="BA12" s="127">
        <f t="shared" si="1"/>
        <v>6025</v>
      </c>
      <c r="BB12" s="127">
        <f t="shared" si="1"/>
        <v>2311</v>
      </c>
      <c r="BC12" s="125">
        <f>IF(ISNUMBER(X12),X12," - ")</f>
        <v>1938</v>
      </c>
      <c r="BD12" s="126">
        <f t="shared" si="2"/>
        <v>1.0472796801668696</v>
      </c>
      <c r="BE12" s="127">
        <f t="shared" si="3"/>
        <v>0.38356846473029044</v>
      </c>
      <c r="BF12" s="127">
        <f t="shared" si="4"/>
        <v>0.3216597510373444</v>
      </c>
      <c r="BG12" s="196">
        <f t="shared" si="5"/>
        <v>1.3146887966804979</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2286</v>
      </c>
      <c r="J13" s="184">
        <f t="shared" si="6"/>
        <v>7341</v>
      </c>
      <c r="K13" s="184">
        <f t="shared" si="6"/>
        <v>6062</v>
      </c>
      <c r="L13" s="184">
        <f t="shared" si="6"/>
        <v>3519</v>
      </c>
      <c r="M13" s="184">
        <f t="shared" si="6"/>
        <v>1756</v>
      </c>
      <c r="N13" s="184">
        <f t="shared" si="6"/>
        <v>2046</v>
      </c>
      <c r="O13" s="184">
        <f t="shared" si="6"/>
        <v>2709</v>
      </c>
      <c r="P13" s="184">
        <f t="shared" si="6"/>
        <v>1261</v>
      </c>
      <c r="Q13" s="184">
        <f t="shared" si="6"/>
        <v>872</v>
      </c>
      <c r="R13" s="184">
        <f t="shared" si="6"/>
        <v>6677</v>
      </c>
      <c r="S13" s="184">
        <f t="shared" si="6"/>
        <v>2125</v>
      </c>
      <c r="T13" s="184">
        <f t="shared" si="6"/>
        <v>5290</v>
      </c>
      <c r="U13" s="184">
        <f t="shared" si="6"/>
        <v>5538</v>
      </c>
      <c r="V13" s="184">
        <f t="shared" si="6"/>
        <v>2286</v>
      </c>
      <c r="W13" s="184">
        <f t="shared" si="6"/>
        <v>1460</v>
      </c>
      <c r="X13" s="184">
        <f t="shared" si="6"/>
        <v>1951</v>
      </c>
      <c r="Y13" s="184">
        <f t="shared" si="6"/>
        <v>53</v>
      </c>
      <c r="Z13" s="184">
        <f t="shared" si="6"/>
        <v>468</v>
      </c>
      <c r="AA13" s="184">
        <f t="shared" si="6"/>
        <v>474</v>
      </c>
      <c r="AB13" s="184">
        <f t="shared" si="6"/>
        <v>53</v>
      </c>
      <c r="AC13" s="184">
        <f t="shared" si="6"/>
        <v>0</v>
      </c>
      <c r="AD13" s="184">
        <f t="shared" si="6"/>
        <v>0</v>
      </c>
      <c r="AE13" s="184">
        <f t="shared" si="6"/>
        <v>0</v>
      </c>
      <c r="AF13" s="184">
        <f>SUBTOTAL(9,AF9:AF12)</f>
        <v>0</v>
      </c>
      <c r="AG13" s="184">
        <f t="shared" ref="AG13:AT13" si="7">SUBTOTAL(9,AG8:AG12)</f>
        <v>79</v>
      </c>
      <c r="AH13" s="184">
        <f t="shared" si="7"/>
        <v>521</v>
      </c>
      <c r="AI13" s="184">
        <f t="shared" si="7"/>
        <v>553</v>
      </c>
      <c r="AJ13" s="184">
        <f t="shared" si="7"/>
        <v>53</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2204</v>
      </c>
      <c r="AZ13" s="184">
        <f>SUBTOTAL(9,AZ8:AZ12)</f>
        <v>5811</v>
      </c>
      <c r="BA13" s="184">
        <f>SUBTOTAL(9,BA8:BA12)</f>
        <v>6091</v>
      </c>
      <c r="BB13" s="184">
        <f>SUBTOTAL(9,BB8:BB12)</f>
        <v>2339</v>
      </c>
      <c r="BC13" s="184">
        <f>SUBTOTAL(9,BC8:BC12)</f>
        <v>1982</v>
      </c>
      <c r="BD13" s="205">
        <f>IF(ISNUMBER(BA13/AZ13),BA13/AZ13," - ")</f>
        <v>1.0481844777146792</v>
      </c>
      <c r="BE13" s="206">
        <f>IF(ISNUMBER(BB13/BA13),BB13/BA13, " - ")</f>
        <v>0.38400919389262844</v>
      </c>
      <c r="BF13" s="206">
        <f>IF(ISNUMBER(BC13/BA13),BC13/BA13, " - ")</f>
        <v>0.32539812838614351</v>
      </c>
      <c r="BG13" s="207">
        <f>IF(ISNUMBER((AY13+AZ13)/BA13),(AY13+AZ13)/BA13," - ")</f>
        <v>1.3158758824495156</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472</v>
      </c>
      <c r="J15" s="183">
        <v>5344</v>
      </c>
      <c r="K15" s="183">
        <v>3872</v>
      </c>
      <c r="L15" s="183">
        <v>1851</v>
      </c>
      <c r="M15" s="183">
        <v>434</v>
      </c>
      <c r="N15" s="183">
        <v>2756</v>
      </c>
      <c r="O15" s="181">
        <v>112</v>
      </c>
      <c r="P15" s="183">
        <v>158</v>
      </c>
      <c r="Q15" s="183">
        <v>124</v>
      </c>
      <c r="R15" s="183">
        <v>221</v>
      </c>
      <c r="S15" s="183">
        <v>0</v>
      </c>
      <c r="T15" s="183">
        <v>0</v>
      </c>
      <c r="U15" s="183">
        <v>0</v>
      </c>
      <c r="V15" s="183">
        <v>0</v>
      </c>
      <c r="W15" s="183">
        <v>0</v>
      </c>
      <c r="X15" s="189">
        <v>0</v>
      </c>
      <c r="Y15" s="202">
        <v>0</v>
      </c>
      <c r="Z15" s="183">
        <v>0</v>
      </c>
      <c r="AA15" s="183">
        <v>0</v>
      </c>
      <c r="AB15" s="183">
        <v>0</v>
      </c>
      <c r="AC15" s="183">
        <v>0</v>
      </c>
      <c r="AD15" s="183">
        <v>1</v>
      </c>
      <c r="AE15" s="183">
        <v>1</v>
      </c>
      <c r="AF15" s="189">
        <v>0</v>
      </c>
      <c r="AG15" s="202">
        <v>0</v>
      </c>
      <c r="AH15" s="183">
        <v>0</v>
      </c>
      <c r="AI15" s="183">
        <v>0</v>
      </c>
      <c r="AJ15" s="203">
        <v>0</v>
      </c>
      <c r="AK15" s="182">
        <v>0</v>
      </c>
      <c r="AL15" s="183">
        <v>0</v>
      </c>
      <c r="AM15" s="183">
        <v>0</v>
      </c>
      <c r="AN15" s="189">
        <v>0</v>
      </c>
      <c r="AO15" s="259">
        <v>3</v>
      </c>
      <c r="AP15" s="155">
        <v>3</v>
      </c>
      <c r="AQ15" s="155">
        <v>3</v>
      </c>
      <c r="AR15" s="155">
        <v>3</v>
      </c>
      <c r="AS15" s="340" t="s">
        <v>519</v>
      </c>
      <c r="AT15" s="203" t="s">
        <v>326</v>
      </c>
      <c r="AU15" s="202"/>
      <c r="AV15" s="203"/>
      <c r="AW15" s="202"/>
      <c r="AX15" s="203"/>
      <c r="AY15" s="128">
        <f t="shared" ref="AY15:BB16" si="9">IF(ISNUMBER(IF(D_I="SI",S15,S15+AK15)),IF(D_I="SI",S15,S15+AK15)," - ")</f>
        <v>0</v>
      </c>
      <c r="AZ15" s="129">
        <f t="shared" si="9"/>
        <v>0</v>
      </c>
      <c r="BA15" s="129">
        <f t="shared" si="9"/>
        <v>0</v>
      </c>
      <c r="BB15" s="129">
        <f t="shared" si="9"/>
        <v>0</v>
      </c>
      <c r="BC15" s="125">
        <f>IF(ISNUMBER(W15),W15," - ")</f>
        <v>0</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868</v>
      </c>
      <c r="J16" s="183">
        <v>273</v>
      </c>
      <c r="K16" s="183">
        <v>862</v>
      </c>
      <c r="L16" s="183">
        <v>286</v>
      </c>
      <c r="M16" s="183">
        <v>163</v>
      </c>
      <c r="N16" s="183">
        <v>349</v>
      </c>
      <c r="O16" s="181">
        <v>0</v>
      </c>
      <c r="P16" s="183">
        <v>11</v>
      </c>
      <c r="Q16" s="183">
        <v>62</v>
      </c>
      <c r="R16" s="183">
        <v>0</v>
      </c>
      <c r="S16" s="183">
        <v>1203</v>
      </c>
      <c r="T16" s="183">
        <v>5348</v>
      </c>
      <c r="U16" s="183">
        <v>5414</v>
      </c>
      <c r="V16" s="183">
        <v>1340</v>
      </c>
      <c r="W16" s="183">
        <v>894</v>
      </c>
      <c r="X16" s="189">
        <v>3199</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0</v>
      </c>
      <c r="AP16" s="155">
        <v>0</v>
      </c>
      <c r="AQ16" s="155">
        <v>0</v>
      </c>
      <c r="AR16" s="155">
        <v>0</v>
      </c>
      <c r="AS16" s="340" t="s">
        <v>481</v>
      </c>
      <c r="AT16" s="203"/>
      <c r="AU16" s="202"/>
      <c r="AV16" s="203"/>
      <c r="AW16" s="202"/>
      <c r="AX16" s="203"/>
      <c r="AY16" s="126">
        <f t="shared" si="9"/>
        <v>1203</v>
      </c>
      <c r="AZ16" s="127">
        <f t="shared" si="9"/>
        <v>5348</v>
      </c>
      <c r="BA16" s="127">
        <f t="shared" si="9"/>
        <v>5414</v>
      </c>
      <c r="BB16" s="127">
        <f t="shared" si="9"/>
        <v>1340</v>
      </c>
      <c r="BC16" s="125">
        <f>IF(ISNUMBER(W16),W16," - ")</f>
        <v>894</v>
      </c>
      <c r="BD16" s="126">
        <f t="shared" ref="BD16" si="11">IF(ISNUMBER(BA16/AZ16),BA16/AZ16," - ")</f>
        <v>1.0123410620792819</v>
      </c>
      <c r="BE16" s="127">
        <f t="shared" ref="BE16" si="12">IF(ISNUMBER(BB16/BA16),BB16/BA16, " - ")</f>
        <v>0.24750646472109347</v>
      </c>
      <c r="BF16" s="127">
        <f t="shared" ref="BF16" si="13">IF(ISNUMBER(BC16/BA16),BC16/BA16, " - ")</f>
        <v>0.16512744735869966</v>
      </c>
      <c r="BG16" s="196">
        <f t="shared" si="10"/>
        <v>1.2100110823790173</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107</v>
      </c>
      <c r="J17" s="183">
        <v>461</v>
      </c>
      <c r="K17" s="183">
        <v>334</v>
      </c>
      <c r="L17" s="183">
        <v>213</v>
      </c>
      <c r="M17" s="183">
        <v>66</v>
      </c>
      <c r="N17" s="183">
        <v>264</v>
      </c>
      <c r="O17" s="183">
        <v>0</v>
      </c>
      <c r="P17" s="183">
        <v>7</v>
      </c>
      <c r="Q17" s="183">
        <v>8</v>
      </c>
      <c r="R17" s="183">
        <v>2</v>
      </c>
      <c r="S17" s="183">
        <v>80</v>
      </c>
      <c r="T17" s="183">
        <v>399</v>
      </c>
      <c r="U17" s="183">
        <v>377</v>
      </c>
      <c r="V17" s="183">
        <v>107</v>
      </c>
      <c r="W17" s="183">
        <v>50</v>
      </c>
      <c r="X17" s="189">
        <v>213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80</v>
      </c>
      <c r="AZ17" s="129">
        <f t="shared" si="14"/>
        <v>399</v>
      </c>
      <c r="BA17" s="129">
        <f t="shared" si="14"/>
        <v>377</v>
      </c>
      <c r="BB17" s="129">
        <f t="shared" si="14"/>
        <v>107</v>
      </c>
      <c r="BC17" s="125">
        <f>IF(ISNUMBER(W17),W17," - ")</f>
        <v>50</v>
      </c>
      <c r="BD17" s="126">
        <f>IF(ISNUMBER(BA17/AZ17),BA17/AZ17," - ")</f>
        <v>0.94486215538847118</v>
      </c>
      <c r="BE17" s="127">
        <f>IF(ISNUMBER(BB17/BA17),BB17/BA17, " - ")</f>
        <v>0.28381962864721483</v>
      </c>
      <c r="BF17" s="127">
        <f>IF(ISNUMBER(BC17/BA17),BC17/BA17, " - ")</f>
        <v>0.13262599469496023</v>
      </c>
      <c r="BG17" s="196">
        <f>IF(ISNUMBER((AY17+AZ17)/BA17),(AY17+AZ17)/BA17," - ")</f>
        <v>1.2705570291777188</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1447</v>
      </c>
      <c r="J18" s="184">
        <f t="shared" si="15"/>
        <v>6078</v>
      </c>
      <c r="K18" s="184">
        <f t="shared" si="15"/>
        <v>5068</v>
      </c>
      <c r="L18" s="184">
        <f t="shared" si="15"/>
        <v>2350</v>
      </c>
      <c r="M18" s="184">
        <f t="shared" si="15"/>
        <v>663</v>
      </c>
      <c r="N18" s="184">
        <f t="shared" si="15"/>
        <v>3369</v>
      </c>
      <c r="O18" s="184">
        <f t="shared" si="15"/>
        <v>112</v>
      </c>
      <c r="P18" s="184">
        <f t="shared" si="15"/>
        <v>176</v>
      </c>
      <c r="Q18" s="184">
        <f t="shared" si="15"/>
        <v>194</v>
      </c>
      <c r="R18" s="184">
        <f t="shared" si="15"/>
        <v>223</v>
      </c>
      <c r="S18" s="184">
        <f t="shared" si="15"/>
        <v>1283</v>
      </c>
      <c r="T18" s="184">
        <f t="shared" si="15"/>
        <v>5747</v>
      </c>
      <c r="U18" s="184">
        <f t="shared" si="15"/>
        <v>5791</v>
      </c>
      <c r="V18" s="184">
        <f t="shared" si="15"/>
        <v>1447</v>
      </c>
      <c r="W18" s="184">
        <f t="shared" si="15"/>
        <v>944</v>
      </c>
      <c r="X18" s="184">
        <f t="shared" si="15"/>
        <v>3412</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1283</v>
      </c>
      <c r="AZ18" s="184">
        <f>SUBTOTAL(9,AZ14:AZ17)</f>
        <v>5747</v>
      </c>
      <c r="BA18" s="184">
        <f>SUBTOTAL(9,BA14:BA17)</f>
        <v>5791</v>
      </c>
      <c r="BB18" s="184">
        <f>SUBTOTAL(9,BB14:BB17)</f>
        <v>1447</v>
      </c>
      <c r="BC18" s="184">
        <f>SUBTOTAL(9,BC14:BC17)</f>
        <v>944</v>
      </c>
      <c r="BD18" s="205">
        <f>IF(ISNUMBER(BA18/AZ18),BA18/AZ18," - ")</f>
        <v>1.0076561684357055</v>
      </c>
      <c r="BE18" s="206">
        <f>IF(ISNUMBER(BB18/BA18),BB18/BA18, " - ")</f>
        <v>0.24987048868934553</v>
      </c>
      <c r="BF18" s="206">
        <f>IF(ISNUMBER(BC18/BA18),BC18/BA18, " - ")</f>
        <v>0.16301156967708513</v>
      </c>
      <c r="BG18" s="207">
        <f>IF(ISNUMBER((AY18+AZ18)/BA18),(AY18+AZ18)/BA18," - ")</f>
        <v>1.2139526852011742</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3733</v>
      </c>
      <c r="J19" s="134">
        <f t="shared" si="18"/>
        <v>13419</v>
      </c>
      <c r="K19" s="134">
        <f t="shared" si="18"/>
        <v>11130</v>
      </c>
      <c r="L19" s="134">
        <f t="shared" si="18"/>
        <v>5869</v>
      </c>
      <c r="M19" s="134">
        <f t="shared" si="18"/>
        <v>2419</v>
      </c>
      <c r="N19" s="134">
        <f t="shared" si="18"/>
        <v>5415</v>
      </c>
      <c r="O19" s="134">
        <f t="shared" si="18"/>
        <v>2821</v>
      </c>
      <c r="P19" s="134">
        <f t="shared" si="18"/>
        <v>1437</v>
      </c>
      <c r="Q19" s="134">
        <f t="shared" si="18"/>
        <v>1066</v>
      </c>
      <c r="R19" s="134">
        <f t="shared" si="18"/>
        <v>6900</v>
      </c>
      <c r="S19" s="134">
        <f t="shared" si="18"/>
        <v>3408</v>
      </c>
      <c r="T19" s="134">
        <f t="shared" si="18"/>
        <v>11037</v>
      </c>
      <c r="U19" s="134">
        <f t="shared" si="18"/>
        <v>11329</v>
      </c>
      <c r="V19" s="134">
        <f t="shared" si="18"/>
        <v>3733</v>
      </c>
      <c r="W19" s="134">
        <f t="shared" si="18"/>
        <v>2404</v>
      </c>
      <c r="X19" s="134">
        <f t="shared" si="18"/>
        <v>5363</v>
      </c>
      <c r="Y19" s="134">
        <f t="shared" si="18"/>
        <v>53</v>
      </c>
      <c r="Z19" s="134">
        <f t="shared" si="18"/>
        <v>468</v>
      </c>
      <c r="AA19" s="134">
        <f t="shared" si="18"/>
        <v>474</v>
      </c>
      <c r="AB19" s="134">
        <f t="shared" si="18"/>
        <v>53</v>
      </c>
      <c r="AC19" s="134">
        <f t="shared" si="18"/>
        <v>0</v>
      </c>
      <c r="AD19" s="134">
        <f t="shared" si="18"/>
        <v>1</v>
      </c>
      <c r="AE19" s="134">
        <f t="shared" si="18"/>
        <v>1</v>
      </c>
      <c r="AF19" s="134">
        <f t="shared" si="18"/>
        <v>0</v>
      </c>
      <c r="AG19" s="134">
        <f t="shared" si="18"/>
        <v>79</v>
      </c>
      <c r="AH19" s="134">
        <f t="shared" si="18"/>
        <v>521</v>
      </c>
      <c r="AI19" s="134">
        <f t="shared" si="18"/>
        <v>553</v>
      </c>
      <c r="AJ19" s="134">
        <f t="shared" si="18"/>
        <v>53</v>
      </c>
      <c r="AK19" s="134">
        <f t="shared" si="18"/>
        <v>0</v>
      </c>
      <c r="AL19" s="134">
        <f t="shared" si="18"/>
        <v>1</v>
      </c>
      <c r="AM19" s="134">
        <f t="shared" si="18"/>
        <v>1</v>
      </c>
      <c r="AN19" s="210">
        <f t="shared" si="18"/>
        <v>0</v>
      </c>
      <c r="AO19" s="211">
        <v>9</v>
      </c>
      <c r="AP19" s="211">
        <v>8</v>
      </c>
      <c r="AQ19" s="211">
        <v>8</v>
      </c>
      <c r="AR19" s="211">
        <v>8</v>
      </c>
      <c r="AS19" s="153">
        <f t="shared" si="18"/>
        <v>0</v>
      </c>
      <c r="AT19" s="153">
        <f t="shared" si="18"/>
        <v>0</v>
      </c>
      <c r="AU19" s="211"/>
      <c r="AV19" s="212"/>
      <c r="AW19" s="211"/>
      <c r="AX19" s="212"/>
      <c r="AY19" s="133">
        <f>SUBTOTAL(9,AY9:AY18)</f>
        <v>3487</v>
      </c>
      <c r="AZ19" s="134">
        <f>SUBTOTAL(9,AZ9:AZ18)</f>
        <v>11558</v>
      </c>
      <c r="BA19" s="134">
        <f>SUBTOTAL(9,BA9:BA18)</f>
        <v>11882</v>
      </c>
      <c r="BB19" s="134">
        <f>SUBTOTAL(9,BB9:BB18)</f>
        <v>3786</v>
      </c>
      <c r="BC19" s="135">
        <f>SUBTOTAL(9,BC9:BC18)</f>
        <v>2926</v>
      </c>
      <c r="BD19" s="213">
        <f>IF(ISNUMBER(BA19/AZ19),BA19/AZ19," - ")</f>
        <v>1.0280325315798582</v>
      </c>
      <c r="BE19" s="210">
        <f>IF(ISNUMBER(BB19/BA19),BB19/BA19, " - ")</f>
        <v>0.31863322672950684</v>
      </c>
      <c r="BF19" s="210">
        <f>IF(ISNUMBER(BC19/BA19),BC19/BA19, " - ")</f>
        <v>0.24625483925265107</v>
      </c>
      <c r="BG19" s="135">
        <f>IF(ISNUMBER((AY19+AZ19)/BA19),(AY19+AZ19)/BA19," - ")</f>
        <v>1.2662009762666218</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CQ1" activePane="topRight" state="frozen"/>
      <selection pane="topRight" activeCell="DC17" sqref="DC17"/>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LEÓN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2023                  Trimestre   1 al 4</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LEÓN</v>
      </c>
    </row>
    <row r="2" spans="1:74" ht="16.5" customHeight="1">
      <c r="C2" s="488" t="str">
        <f>Criterios!A10 &amp;"  "&amp;Criterios!B10 &amp; "  " &amp; IF(NOT(ISBLANK(Criterios!A11)),Criterios!A11 &amp;"  "&amp;Criterios!B11,"")</f>
        <v>Provincias  LEON  Resumenes por Partidos Judiciales  PONFERRADA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2023          Trimestre   1 al 4</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451</v>
      </c>
      <c r="O9" s="334"/>
      <c r="P9" s="334"/>
      <c r="Q9" s="226">
        <f>IF(ISNUMBER(Datos!P9),Datos!P9,0)</f>
        <v>1260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436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53</v>
      </c>
      <c r="AI9" s="334" t="str">
        <f>IF(ISNUMBER(Datos!CD9),Datos!CD9,"-")</f>
        <v>-</v>
      </c>
      <c r="AJ9" s="334" t="str">
        <f>IF(ISNUMBER(Datos!EN9),Datos!EN9," - ")</f>
        <v xml:space="preserve"> - </v>
      </c>
      <c r="AK9" s="334"/>
      <c r="AL9" s="479"/>
      <c r="AM9" s="335">
        <f>IF(ISNUMBER(Datos!R9),Datos!R9," - ")</f>
        <v>4718</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1473</v>
      </c>
      <c r="BD9" s="229">
        <f>IF(ISNUMBER(Datos!N9),Datos!N9," - ")</f>
        <v>1706</v>
      </c>
      <c r="BE9" s="229" t="str">
        <f>IF(ISNUMBER(Datos!BW9),Datos!BW9," - ")</f>
        <v xml:space="preserve"> - </v>
      </c>
      <c r="BF9" s="228" t="str">
        <f>IF(ISNUMBER(Datos!BX9),Datos!BX9," - ")</f>
        <v xml:space="preserve"> - </v>
      </c>
      <c r="BG9" s="243">
        <f>IF(ISNUMBER(IF(J_V="SI",Datos!K9/Datos!J9,(Datos!K9+Datos!AA9)/(Datos!J9+Datos!Z9))),IF(J_V="SI",Datos!K9/Datos!J9,(Datos!K9+Datos!AA9)/(Datos!J9+Datos!Z9))," - ")</f>
        <v>0.72622820919175912</v>
      </c>
      <c r="BH9" s="260">
        <f>IF(ISNUMBER(((IF(J_V="SI",Datos!L9/Datos!K9,(Datos!L9+Datos!AB9)/(Datos!K9+Datos!AA9)))*11)/factor_trimestre),((IF(J_V="SI",Datos!L9/Datos!K9,(Datos!L9+Datos!AB9)/(Datos!K9+Datos!AA9)))*11)/factor_trimestre," - ")</f>
        <v>6.9232587743226048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0.21160760143810992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28</v>
      </c>
      <c r="G10" s="333">
        <f>IF(ISNUMBER(Datos!I10),Datos!I10," - ")</f>
        <v>28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61</v>
      </c>
      <c r="AC10" s="226">
        <f>IF(ISNUMBER(Datos!Q10),Datos!Q10," - ")</f>
        <v>1</v>
      </c>
      <c r="AD10" s="334"/>
      <c r="AE10" s="484"/>
      <c r="AF10" s="332">
        <f>IF(ISNUMBER(Datos!L10),Datos!L10,"-")</f>
        <v>24</v>
      </c>
      <c r="AG10" s="334"/>
      <c r="AH10" s="334"/>
      <c r="AI10" s="334"/>
      <c r="AJ10" s="334"/>
      <c r="AK10" s="334"/>
      <c r="AL10" s="479"/>
      <c r="AM10" s="335">
        <f>IF(ISNUMBER(Datos!R10),Datos!R10," - ")</f>
        <v>44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25</v>
      </c>
      <c r="BD10" s="229">
        <f>IF(ISNUMBER(Datos!N10),Datos!N10," - ")</f>
        <v>8</v>
      </c>
      <c r="BE10" s="229" t="str">
        <f>IF(ISNUMBER(Datos!BW10),Datos!BW10," - ")</f>
        <v xml:space="preserve"> - </v>
      </c>
      <c r="BF10" s="228" t="str">
        <f>IF(ISNUMBER(Datos!BX10),Datos!BX10," - ")</f>
        <v xml:space="preserve"> - </v>
      </c>
      <c r="BG10" s="243">
        <f>IF(ISNUMBER(Datos!K10/Datos!J10),Datos!K10/Datos!J10," - ")</f>
        <v>1.0701754385964912</v>
      </c>
      <c r="BH10" s="260">
        <f>IF(ISNUMBER(((Datos!L10/Datos!K10)*11)/factor_trimestre),((Datos!L10/Datos!K10)*11)/factor_trimestre," - ")</f>
        <v>4.3278688524590159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1915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258</v>
      </c>
      <c r="BD12" s="229">
        <f>IF(ISNUMBER(Datos!N12),Datos!N12," - ")</f>
        <v>332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5.4222222222222225</v>
      </c>
      <c r="BH12" s="260">
        <f>IF(ISNUMBER(((IF(J_V="SI",Datos!L12/Datos!K12,(Datos!L12+Datos!AB12)/(Datos!K12+Datos!AA12)))*11)/factor_trimestre),((IF(J_V="SI",Datos!L12/Datos!K12,(Datos!L12+Datos!AB12)/(Datos!K12+Datos!AA12)))*11)/factor_trimestre," - ")</f>
        <v>0.98053278688524592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-0.18510638297872339</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row>
    <row r="13" spans="1:74" ht="15.75" thickTop="1" thickBot="1">
      <c r="A13" s="178"/>
      <c r="B13" s="178"/>
      <c r="C13" s="863" t="str">
        <f>Datos!A13</f>
        <v>TOTAL</v>
      </c>
      <c r="D13" s="897"/>
      <c r="E13" s="1164">
        <f t="shared" ref="E13:Z13" si="0">SUBTOTAL(9,E8:E12)</f>
        <v>5</v>
      </c>
      <c r="F13" s="898">
        <f t="shared" si="0"/>
        <v>28</v>
      </c>
      <c r="G13" s="898">
        <f t="shared" si="0"/>
        <v>28</v>
      </c>
      <c r="H13" s="899">
        <f t="shared" si="0"/>
        <v>0</v>
      </c>
      <c r="I13" s="898">
        <f t="shared" si="0"/>
        <v>0</v>
      </c>
      <c r="J13" s="867">
        <f t="shared" si="0"/>
        <v>0</v>
      </c>
      <c r="K13" s="867">
        <f t="shared" si="0"/>
        <v>0</v>
      </c>
      <c r="L13" s="899">
        <f t="shared" si="0"/>
        <v>0</v>
      </c>
      <c r="M13" s="899">
        <f t="shared" si="0"/>
        <v>0</v>
      </c>
      <c r="N13" s="899">
        <f t="shared" si="0"/>
        <v>468</v>
      </c>
      <c r="O13" s="900">
        <f t="shared" si="0"/>
        <v>0</v>
      </c>
      <c r="P13" s="900">
        <f t="shared" si="0"/>
        <v>0</v>
      </c>
      <c r="Q13" s="899">
        <f t="shared" si="0"/>
        <v>1261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61</v>
      </c>
      <c r="AC13" s="899">
        <f t="shared" si="1"/>
        <v>872</v>
      </c>
      <c r="AD13" s="899">
        <f t="shared" si="1"/>
        <v>0</v>
      </c>
      <c r="AE13" s="899">
        <f t="shared" si="1"/>
        <v>0</v>
      </c>
      <c r="AF13" s="899">
        <f t="shared" si="1"/>
        <v>24</v>
      </c>
      <c r="AG13" s="899">
        <f t="shared" si="1"/>
        <v>0</v>
      </c>
      <c r="AH13" s="899">
        <f t="shared" si="1"/>
        <v>53</v>
      </c>
      <c r="AI13" s="899">
        <f t="shared" si="1"/>
        <v>0</v>
      </c>
      <c r="AJ13" s="899">
        <f t="shared" si="1"/>
        <v>0</v>
      </c>
      <c r="AK13" s="899">
        <f t="shared" si="1"/>
        <v>0</v>
      </c>
      <c r="AL13" s="899">
        <f t="shared" si="1"/>
        <v>0</v>
      </c>
      <c r="AM13" s="899">
        <f t="shared" si="1"/>
        <v>6677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1756</v>
      </c>
      <c r="BD13" s="899">
        <f t="shared" si="1"/>
        <v>2046</v>
      </c>
      <c r="BE13" s="899">
        <f t="shared" si="1"/>
        <v>0</v>
      </c>
      <c r="BF13" s="899">
        <f t="shared" si="1"/>
        <v>0</v>
      </c>
      <c r="BG13" s="899">
        <f>IF(ISNUMBER(Datos!K13/Datos!J13),Datos!K13/Datos!J13," - ")</f>
        <v>0.82577305544203783</v>
      </c>
      <c r="BH13" s="903">
        <f>IF(ISNUMBER(((Datos!L13/Datos!K13)*11)/factor_trimestre),((Datos!L13/Datos!K13)*11)/factor_trimestre," - ")</f>
        <v>6.3855163312438146</v>
      </c>
      <c r="BI13" s="899">
        <f>IF(ISNUMBER('Resol  Asuntos'!D13/NºAsuntos!G13),'Resol  Asuntos'!D13/NºAsuntos!G13," - ")</f>
        <v>0.2686658506731946</v>
      </c>
      <c r="BJ13" s="899" t="str">
        <f>IF(ISNUMBER(Datos!CI13/Datos!CJ13),Datos!CI13/Datos!CJ13," - ")</f>
        <v xml:space="preserve"> - </v>
      </c>
      <c r="BK13" s="899">
        <f>SUBTOTAL(9,BK8:BK12)</f>
        <v>0</v>
      </c>
      <c r="BL13" s="899">
        <f>IF(ISNUMBER((I13-AB13+L13)/(F13)),(I13-AB13+L13)/(F13)," - ")</f>
        <v>-2.1785714285714284</v>
      </c>
      <c r="BM13" s="904">
        <f>SUBTOTAL(9,BM9:BM12)</f>
        <v>2.6501218459386522E-2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396</v>
      </c>
      <c r="C15" s="600" t="str">
        <f>Datos!A15</f>
        <v xml:space="preserve">Jdos. Instrucción                               </v>
      </c>
      <c r="D15" s="601"/>
      <c r="E15" s="1165">
        <f>IF(ISNUMBER(Datos!AQ15),Datos!AQ15," - ")</f>
        <v>3</v>
      </c>
      <c r="F15" s="595">
        <f>IF(ISNUMBER(AF15+AB15-Datos!J15-L15),AF15+AB15-Datos!J15-L15," - ")</f>
        <v>379</v>
      </c>
      <c r="G15" s="598">
        <f>IF(ISNUMBER(IF(D_I="SI",Datos!I15,Datos!I15+Datos!AC15)),IF(D_I="SI",Datos!I15,Datos!I15+Datos!AC15)," - ")</f>
        <v>472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158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3872</v>
      </c>
      <c r="AC15" s="226">
        <f>IF(ISNUMBER(Datos!Q15),Datos!Q15," - ")</f>
        <v>124</v>
      </c>
      <c r="AD15" s="334"/>
      <c r="AE15" s="484"/>
      <c r="AF15" s="596">
        <f>IF(ISNUMBER(IF(D_I="SI",Datos!L15,Datos!L15+Datos!AF15)),IF(D_I="SI",Datos!L15,Datos!L15+Datos!AF15)," - ")</f>
        <v>1851</v>
      </c>
      <c r="AG15" s="334"/>
      <c r="AH15" s="334"/>
      <c r="AI15" s="334"/>
      <c r="AJ15" s="334"/>
      <c r="AK15" s="334"/>
      <c r="AL15" s="479"/>
      <c r="AM15" s="335">
        <f>IF(ISNUMBER(Datos!R15),Datos!R15," - ")</f>
        <v>221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434</v>
      </c>
      <c r="BD15" s="229">
        <f>IF(ISNUMBER(Datos!N15),Datos!N15," - ")</f>
        <v>2756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0.72455089820359286</v>
      </c>
      <c r="BH15" s="260">
        <f>IF(ISNUMBER(((IF(D_I="SI",Datos!L15/Datos!K15,(Datos!L15+Datos!AF15)/(Datos!K15+Datos!AE15)))*11)/factor_trimestre),((IF(D_I="SI",Datos!L15/Datos!K15,(Datos!L15+Datos!AF15)/(Datos!K15+Datos!AE15)))*11)/factor_trimestre," - ")</f>
        <v>5.2585227272727275</v>
      </c>
      <c r="BI15" s="243">
        <f>IF(ISNUMBER('Resol  Asuntos'!D15/NºAsuntos!G15),'Resol  Asuntos'!D15/NºAsuntos!G15," - ")</f>
        <v>0.11208677685950413</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875</v>
      </c>
      <c r="G16" s="598">
        <f>IF(ISNUMBER(IF(D_I="SI",Datos!I16,Datos!I16+Datos!AC16)),IF(D_I="SI",Datos!I16,Datos!I16+Datos!AC16)," - ")</f>
        <v>868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862</v>
      </c>
      <c r="AC16" s="226">
        <f>IF(ISNUMBER(Datos!Q16),Datos!Q16," - ")</f>
        <v>62</v>
      </c>
      <c r="AD16" s="334"/>
      <c r="AE16" s="484"/>
      <c r="AF16" s="596">
        <f>IF(ISNUMBER(IF(D_I="SI",Datos!L16,Datos!L16+Datos!AF16)),IF(D_I="SI",Datos!L16,Datos!L16+Datos!AF16)," - ")</f>
        <v>286</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163</v>
      </c>
      <c r="BD16" s="229">
        <f>IF(ISNUMBER(Datos!N16),Datos!N16," - ")</f>
        <v>349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3.1575091575091574</v>
      </c>
      <c r="BH16" s="260">
        <f>IF(ISNUMBER(((IF(D_I="SI",Datos!L16/Datos!K16,(Datos!L16+Datos!AF16)/(Datos!K16+Datos!AE16)))*11)/factor_trimestre),((IF(D_I="SI",Datos!L16/Datos!K16,(Datos!L16+Datos!AF16)/(Datos!K16+Datos!AE16)))*11)/factor_trimestre," - ")</f>
        <v>3.6496519721577725</v>
      </c>
      <c r="BI16" s="243">
        <f>IF(ISNUMBER('Resol  Asuntos'!D16/NºAsuntos!G16),'Resol  Asuntos'!D16/NºAsuntos!G16," - ")</f>
        <v>0.18909512761020883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334</v>
      </c>
      <c r="AC17" s="226">
        <f>IF(ISNUMBER(Datos!Q17),Datos!Q17," - ")</f>
        <v>8</v>
      </c>
      <c r="AD17" s="334"/>
      <c r="AE17" s="484"/>
      <c r="AF17" s="332">
        <f>IF(ISNUMBER(Datos!L17),Datos!L17,"-")</f>
        <v>213</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66</v>
      </c>
      <c r="BD17" s="229">
        <f>IF(ISNUMBER(Datos!N17),Datos!N17," - ")</f>
        <v>264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0.72451193058568331</v>
      </c>
      <c r="BH17" s="260">
        <f>IF(ISNUMBER(((IF(D_I="SI",Datos!L17/Datos!K17,(Datos!L17+Datos!AF17)/(Datos!K17+Datos!AE17)))*11)/factor_trimestre),((IF(D_I="SI",Datos!L17/Datos!K17,(Datos!L17+Datos!AF17)/(Datos!K17+Datos!AE17)))*11)/factor_trimestre," - ")</f>
        <v>7.0149700598802394</v>
      </c>
      <c r="BI17" s="243">
        <f>IF(ISNUMBER('Resol  Asuntos'!D17/NºAsuntos!G17),'Resol  Asuntos'!D17/NºAsuntos!G17," - ")</f>
        <v>0.19760479041916168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row>
    <row r="18" spans="1:74" ht="15.75" thickTop="1" thickBot="1">
      <c r="A18" s="178"/>
      <c r="B18" s="178"/>
      <c r="C18" s="863" t="str">
        <f>Datos!A18</f>
        <v>TOTAL</v>
      </c>
      <c r="D18" s="897"/>
      <c r="E18" s="1164">
        <f>SUBTOTAL(9,E15:E17)</f>
        <v>3</v>
      </c>
      <c r="F18" s="898">
        <f>SUBTOTAL(9,F15:F17)</f>
        <v>1254</v>
      </c>
      <c r="G18" s="898">
        <f>SUBTOTAL(9,G15:G17)</f>
        <v>1447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5068</v>
      </c>
      <c r="AC18" s="899">
        <f t="shared" si="4"/>
        <v>194</v>
      </c>
      <c r="AD18" s="899">
        <f t="shared" si="4"/>
        <v>0</v>
      </c>
      <c r="AE18" s="899">
        <f t="shared" si="4"/>
        <v>0</v>
      </c>
      <c r="AF18" s="899">
        <f t="shared" si="4"/>
        <v>2350</v>
      </c>
      <c r="AG18" s="899">
        <f t="shared" si="4"/>
        <v>0</v>
      </c>
      <c r="AH18" s="899">
        <f t="shared" si="4"/>
        <v>0</v>
      </c>
      <c r="AI18" s="899">
        <f t="shared" si="4"/>
        <v>0</v>
      </c>
      <c r="AJ18" s="899">
        <f t="shared" si="4"/>
        <v>0</v>
      </c>
      <c r="AK18" s="899">
        <f t="shared" si="4"/>
        <v>0</v>
      </c>
      <c r="AL18" s="899">
        <f t="shared" si="4"/>
        <v>0</v>
      </c>
      <c r="AM18" s="899">
        <f t="shared" si="4"/>
        <v>223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663</v>
      </c>
      <c r="BD18" s="899">
        <f t="shared" si="4"/>
        <v>3369</v>
      </c>
      <c r="BE18" s="899">
        <f t="shared" si="4"/>
        <v>0</v>
      </c>
      <c r="BF18" s="899">
        <f t="shared" si="4"/>
        <v>0</v>
      </c>
      <c r="BG18" s="899">
        <f>IF(ISNUMBER(Datos!K18/Datos!J18),Datos!K18/Datos!J18," - ")</f>
        <v>0.83382691674893061</v>
      </c>
      <c r="BH18" s="903">
        <f>IF(ISNUMBER(((Datos!L18/Datos!K18)*11)/factor_trimestre),((Datos!L18/Datos!K18)*11)/factor_trimestre," - ")</f>
        <v>5.1006314127861092</v>
      </c>
      <c r="BI18" s="899">
        <f>SUBTOTAL(9,BI15:BI17)</f>
        <v>0.49878669488887462</v>
      </c>
      <c r="BJ18" s="899">
        <f>SUBTOTAL(9,BJ15:BJ17)</f>
        <v>0</v>
      </c>
      <c r="BK18" s="899">
        <f>SUBTOTAL(9,BK15:BK17)</f>
        <v>0</v>
      </c>
      <c r="BL18" s="899">
        <f>IF(ISNUMBER((I18-AB18+L18)/(F18)),(I18-AB18+L18)/(F18)," - ")</f>
        <v>-4.0414673046251997</v>
      </c>
      <c r="BM18" s="905">
        <f>IF(ISNUMBER((Datos!P18-Datos!Q18)/(Datos!R18-Datos!P18+Datos!Q18)),(Datos!P18-Datos!Q18)/(Datos!R18-Datos!P18+Datos!Q18)," - ")</f>
        <v>-7.4688796680497924E-2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row>
    <row r="19" spans="1:74" ht="18.75" customHeight="1" thickTop="1" thickBot="1">
      <c r="A19" s="172"/>
      <c r="B19" s="172"/>
      <c r="C19" s="818" t="str">
        <f>Datos!A19</f>
        <v>TOTAL JURISDICCIONES</v>
      </c>
      <c r="D19" s="818"/>
      <c r="E19" s="1166">
        <f t="shared" ref="E19:R19" si="6">SUBTOTAL(9,E9:E18)</f>
        <v>8</v>
      </c>
      <c r="F19" s="820">
        <f t="shared" si="6"/>
        <v>1282</v>
      </c>
      <c r="G19" s="820">
        <f t="shared" si="6"/>
        <v>1475</v>
      </c>
      <c r="H19" s="822">
        <f t="shared" si="6"/>
        <v>0</v>
      </c>
      <c r="I19" s="820">
        <f t="shared" si="6"/>
        <v>0</v>
      </c>
      <c r="J19" s="822">
        <f t="shared" si="6"/>
        <v>0</v>
      </c>
      <c r="K19" s="822">
        <f t="shared" si="6"/>
        <v>0</v>
      </c>
      <c r="L19" s="881">
        <f t="shared" si="6"/>
        <v>0</v>
      </c>
      <c r="M19" s="881">
        <f t="shared" si="6"/>
        <v>0</v>
      </c>
      <c r="N19" s="881">
        <f t="shared" si="6"/>
        <v>468</v>
      </c>
      <c r="O19" s="881">
        <f t="shared" si="6"/>
        <v>0</v>
      </c>
      <c r="P19" s="881">
        <f t="shared" si="6"/>
        <v>0</v>
      </c>
      <c r="Q19" s="822">
        <f t="shared" si="6"/>
        <v>1437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5129</v>
      </c>
      <c r="AC19" s="821">
        <f t="shared" si="7"/>
        <v>1066</v>
      </c>
      <c r="AD19" s="821">
        <f t="shared" si="7"/>
        <v>0</v>
      </c>
      <c r="AE19" s="821">
        <f t="shared" si="7"/>
        <v>0</v>
      </c>
      <c r="AF19" s="828">
        <f t="shared" si="7"/>
        <v>2374</v>
      </c>
      <c r="AG19" s="828">
        <f t="shared" si="7"/>
        <v>0</v>
      </c>
      <c r="AH19" s="828">
        <f t="shared" si="7"/>
        <v>53</v>
      </c>
      <c r="AI19" s="828">
        <f t="shared" si="7"/>
        <v>0</v>
      </c>
      <c r="AJ19" s="821">
        <f t="shared" si="7"/>
        <v>0</v>
      </c>
      <c r="AK19" s="828">
        <f t="shared" si="7"/>
        <v>0</v>
      </c>
      <c r="AL19" s="828">
        <f t="shared" si="7"/>
        <v>0</v>
      </c>
      <c r="AM19" s="828">
        <f t="shared" si="7"/>
        <v>6900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2419</v>
      </c>
      <c r="BD19" s="820">
        <f t="shared" si="7"/>
        <v>5415</v>
      </c>
      <c r="BE19" s="820">
        <f t="shared" si="7"/>
        <v>0</v>
      </c>
      <c r="BF19" s="830">
        <f t="shared" si="7"/>
        <v>0</v>
      </c>
      <c r="BG19" s="915">
        <f>IF(ISNUMBER(Datos!K19/Datos!J19),Datos!K19/Datos!J19," - ")</f>
        <v>0.82942097026604067</v>
      </c>
      <c r="BH19" s="915">
        <f>IF(ISNUMBER(((Datos!L19/Datos!K19)*11)/factor_trimestre),((Datos!L19/Datos!K19)*11)/factor_trimestre," - ")</f>
        <v>5.8004492362982933</v>
      </c>
      <c r="BI19" s="813">
        <f>IF(ISNUMBER(Datos!J19/Datos!I19),Datos!J19/Datos!I19," - ")</f>
        <v>3.5946959549959816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-4.0007800312012485</v>
      </c>
      <c r="BM19" s="889">
        <f>IF(ISNUMBER((Datos!P19-Datos!Q19+R19)/(Datos!R19-Datos!P19+Datos!Q19-R19)),(Datos!P19-Datos!Q19+R19)/(Datos!R19-Datos!P19+Datos!Q19-R19)," - ")</f>
        <v>5.6823403277684176E-2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491.66666666666669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2.2236106773543889</v>
      </c>
      <c r="F21" s="551">
        <f>IF(ISNUMBER(STDEV(F8:F18)),STDEV(F8:F18),"-")</f>
        <v>540.49301568105398</v>
      </c>
      <c r="G21" s="552">
        <f>IF(ISNUMBER(STDEV(G8:G18)),STDEV(G8:G18),"-")</f>
        <v>571.4223190134129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2190.9490789762017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660.46774550854707</v>
      </c>
      <c r="BD21" s="551"/>
      <c r="BE21" s="551">
        <f>IF(ISNUMBER(STDEV(BE8:BE18)),STDEV(BE8:BE18),"-")</f>
        <v>0</v>
      </c>
      <c r="BF21" s="556">
        <f>IF(ISNUMBER(STDEV(BF8:BF18)),STDEV(BF8:BF18),"-")</f>
        <v>0</v>
      </c>
      <c r="BG21" s="775">
        <f>IF(ISNUMBER(STDEV(BG8:BG18)),STDEV(BG8:BG18),"-")</f>
        <v>1.7213005563283545</v>
      </c>
      <c r="BH21" s="776">
        <f>IF(ISNUMBER(STDEV(BH8:BH18)),STDEV(BH8:BH18),"-")</f>
        <v>2.0060924079001681</v>
      </c>
      <c r="BI21" s="249">
        <f>IF(ISNUMBER(STDEV(BI8:BI18)),STDEV(BI8:BI18),"-")</f>
        <v>0.14804155627207882</v>
      </c>
      <c r="BJ21" s="230" t="str">
        <f>IF(ISNUMBER(BL21/BM21),BL21/BM21," - ")</f>
        <v xml:space="preserve"> - </v>
      </c>
      <c r="BK21" s="575"/>
      <c r="BL21" s="559">
        <f>IF(ISNUMBER(STDEV(BL8:BL18)),STDEV(BL8:BL18),"-")</f>
        <v>1.3172663066020762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09 may. 2024</v>
      </c>
    </row>
    <row r="32" spans="1:74">
      <c r="C32" s="527"/>
      <c r="D32" s="527"/>
    </row>
  </sheetData>
  <sheetProtection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LEÓN</v>
      </c>
    </row>
    <row r="2" spans="1:73" ht="16.5" customHeight="1">
      <c r="C2" s="528" t="str">
        <f>Criterios!A10 &amp;"  "&amp;Criterios!B10 &amp; "  " &amp; IF(NOT(ISBLANK(Criterios!A11)),Criterios!A11 &amp;"  "&amp;Criterios!B11,"")</f>
        <v>Provincias  LEON  Resumenes por Partidos Judiciales  PONFERRADA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2023          Trimestre   1 al 4</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1260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436</v>
      </c>
      <c r="AA9" s="332" t="str">
        <f>IF(ISNUMBER(IF(J_V="SI",Datos!L9,Datos!L9+Datos!AB9)-IF(Monitorios="SI",Datos!CD9,0)),
                          IF(J_V="SI",Datos!L9,Datos!L9+Datos!AB9)-IF(Monitorios="SI",Datos!CD9,0),
                          " - ")</f>
        <v xml:space="preserve"> - </v>
      </c>
      <c r="AB9" s="334"/>
      <c r="AC9" s="334"/>
      <c r="AD9" s="484"/>
      <c r="AE9" s="484">
        <f>IF(ISNUMBER(Datos!R9),Datos!R9," - ")</f>
        <v>4718</v>
      </c>
      <c r="AF9" s="229" t="str">
        <f>IF(ISNUMBER(Datos!BV9),Datos!BV9," - ")</f>
        <v xml:space="preserve"> - </v>
      </c>
      <c r="AG9" s="225" t="str">
        <f>IF(ISNUMBER(Datos!DV9),Datos!DV9," - ")</f>
        <v xml:space="preserve"> - </v>
      </c>
      <c r="AH9" s="298"/>
      <c r="AI9" s="227"/>
      <c r="AJ9" s="225">
        <f>IF(ISNUMBER(Datos!M9),Datos!M9," - ")</f>
        <v>1473</v>
      </c>
      <c r="AK9" s="229">
        <f>IF(ISNUMBER(Datos!N9),Datos!N9," - ")</f>
        <v>1706</v>
      </c>
      <c r="AL9" s="229" t="str">
        <f>IF(ISNUMBER(Datos!BW9),Datos!BW9," - ")</f>
        <v xml:space="preserve"> - </v>
      </c>
      <c r="AM9" s="228" t="str">
        <f>IF(ISNUMBER(Datos!BX9),Datos!BX9," - ")</f>
        <v xml:space="preserve"> - </v>
      </c>
      <c r="AN9" s="243"/>
      <c r="AO9" s="260">
        <f>IF(ISNUMBER(((NºAsuntos!I9/NºAsuntos!G9)*11)/factor_trimestre),((NºAsuntos!I9/NºAsuntos!G9)*11)/factor_trimestre," - ")</f>
        <v>6.9232587743226048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0.21160760143810992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28</v>
      </c>
      <c r="G10" s="225">
        <f>IF(ISNUMBER(Datos!I10),Datos!I10," - ")</f>
        <v>28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61</v>
      </c>
      <c r="Z10" s="619">
        <f>IF(ISNUMBER(Datos!Q10),Datos!Q10," - ")</f>
        <v>1</v>
      </c>
      <c r="AA10" s="332">
        <f>IF(ISNUMBER(Datos!L10),Datos!L10,"-")</f>
        <v>24</v>
      </c>
      <c r="AB10" s="334"/>
      <c r="AC10" s="334"/>
      <c r="AD10" s="484"/>
      <c r="AE10" s="484">
        <f>IF(ISNUMBER(Datos!R10),Datos!R10," - ")</f>
        <v>44</v>
      </c>
      <c r="AF10" s="229" t="str">
        <f>IF(ISNUMBER(Datos!BV10),Datos!BV10," - ")</f>
        <v xml:space="preserve"> - </v>
      </c>
      <c r="AG10" s="225" t="str">
        <f>IF(ISNUMBER(Datos!DV10),Datos!DV10," - ")</f>
        <v xml:space="preserve"> - </v>
      </c>
      <c r="AH10" s="298"/>
      <c r="AI10" s="227"/>
      <c r="AJ10" s="225">
        <f>IF(ISNUMBER(Datos!M10),Datos!M10," - ")</f>
        <v>25</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4.3278688524590159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435</v>
      </c>
      <c r="AA12" s="332" t="str">
        <f>IF(ISNUMBER(IF(J_V="SI",Datos!L12,Datos!L12+Datos!AB12)-IF(Monitorios="SI",Datos!CD12,0)),
                          IF(J_V="SI",Datos!L12,Datos!L12+Datos!AB12)-IF(Monitorios="SI",Datos!CD12,0),
                          " - ")</f>
        <v xml:space="preserve"> - </v>
      </c>
      <c r="AB12" s="334"/>
      <c r="AC12" s="334"/>
      <c r="AD12" s="484"/>
      <c r="AE12" s="484">
        <f>IF(ISNUMBER(Datos!R12),Datos!R12," - ")</f>
        <v>1915</v>
      </c>
      <c r="AF12" s="229" t="str">
        <f>IF(ISNUMBER(Datos!BV12),Datos!BV12," - ")</f>
        <v xml:space="preserve"> - </v>
      </c>
      <c r="AG12" s="225" t="str">
        <f>IF(ISNUMBER(Datos!DV12),Datos!DV12," - ")</f>
        <v xml:space="preserve"> - </v>
      </c>
      <c r="AH12" s="298"/>
      <c r="AI12" s="227"/>
      <c r="AJ12" s="225">
        <f>IF(ISNUMBER(Datos!M12),Datos!M12," - ")</f>
        <v>258</v>
      </c>
      <c r="AK12" s="229">
        <f>IF(ISNUMBER(Datos!N12),Datos!N12," - ")</f>
        <v>332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0.98053278688524592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-0.18510638297872339</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row>
    <row r="13" spans="1:73" ht="15.75" thickTop="1" thickBot="1">
      <c r="A13" s="178"/>
      <c r="B13" s="178"/>
      <c r="C13" s="863" t="str">
        <f>Datos!A13</f>
        <v>TOTAL</v>
      </c>
      <c r="D13" s="863"/>
      <c r="E13" s="898">
        <f>SUBTOTAL(9,E8:E12)</f>
        <v>5</v>
      </c>
      <c r="F13" s="898">
        <f>SUBTOTAL(9,F8:F12)</f>
        <v>28</v>
      </c>
      <c r="G13" s="898">
        <f>SUBTOTAL(9,G8:G12)</f>
        <v>28</v>
      </c>
      <c r="H13" s="908"/>
      <c r="I13" s="898">
        <f t="shared" ref="I13:N13" si="0">SUBTOTAL(9,I8:I12)</f>
        <v>0</v>
      </c>
      <c r="J13" s="867">
        <f t="shared" si="0"/>
        <v>0</v>
      </c>
      <c r="K13" s="908">
        <f t="shared" si="0"/>
        <v>0</v>
      </c>
      <c r="L13" s="908">
        <f t="shared" si="0"/>
        <v>0</v>
      </c>
      <c r="M13" s="908">
        <f t="shared" si="0"/>
        <v>0</v>
      </c>
      <c r="N13" s="908">
        <f t="shared" si="0"/>
        <v>1261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61</v>
      </c>
      <c r="Z13" s="907">
        <f t="shared" si="2"/>
        <v>872</v>
      </c>
      <c r="AA13" s="900">
        <f t="shared" si="2"/>
        <v>24</v>
      </c>
      <c r="AB13" s="900">
        <f t="shared" si="2"/>
        <v>0</v>
      </c>
      <c r="AC13" s="900">
        <f t="shared" si="2"/>
        <v>0</v>
      </c>
      <c r="AD13" s="900">
        <f t="shared" si="2"/>
        <v>0</v>
      </c>
      <c r="AE13" s="900">
        <f t="shared" si="2"/>
        <v>6677</v>
      </c>
      <c r="AF13" s="908">
        <f t="shared" si="2"/>
        <v>0</v>
      </c>
      <c r="AG13" s="908">
        <f t="shared" si="2"/>
        <v>0</v>
      </c>
      <c r="AH13" s="908">
        <f t="shared" si="2"/>
        <v>0</v>
      </c>
      <c r="AI13" s="908">
        <f t="shared" si="2"/>
        <v>0</v>
      </c>
      <c r="AJ13" s="908">
        <f t="shared" si="2"/>
        <v>1756</v>
      </c>
      <c r="AK13" s="908">
        <f t="shared" si="2"/>
        <v>2046</v>
      </c>
      <c r="AL13" s="908">
        <f t="shared" si="2"/>
        <v>0</v>
      </c>
      <c r="AM13" s="908">
        <f t="shared" si="2"/>
        <v>0</v>
      </c>
      <c r="AN13" s="908">
        <f t="shared" si="2"/>
        <v>0</v>
      </c>
      <c r="AO13" s="904">
        <f>IF(ISNUMBER(((NºAsuntos!I13/NºAsuntos!G13)*11)/factor_trimestre),((NºAsuntos!I13/NºAsuntos!G13)*11)/factor_trimestre," - ")</f>
        <v>6.0116279069767442</v>
      </c>
      <c r="AP13" s="910" t="str">
        <f>IF(ISNUMBER(Datos!CI13/Datos!CJ13),Datos!CI13/Datos!CJ13," - ")</f>
        <v xml:space="preserve"> - </v>
      </c>
      <c r="AQ13" s="928">
        <f t="shared" ref="AQ13:AV13" si="3">SUBTOTAL(9,AQ9:AQ12)</f>
        <v>0</v>
      </c>
      <c r="AR13" s="928">
        <f t="shared" si="3"/>
        <v>2.6501218459386522E-2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396</v>
      </c>
      <c r="C15" s="160" t="str">
        <f>Datos!A15</f>
        <v xml:space="preserve">Jdos. Instrucción                               </v>
      </c>
      <c r="D15" s="502"/>
      <c r="E15" s="1168">
        <f>IF(ISNUMBER(Datos!AQ15),Datos!AQ15," - ")</f>
        <v>3</v>
      </c>
      <c r="F15" s="333">
        <f>IF(ISNUMBER(AA15+Y15-Datos!J15-K15),AA15+Y15-Datos!J15-K15," - ")</f>
        <v>379</v>
      </c>
      <c r="G15" s="225">
        <f>IF(ISNUMBER(IF(D_I="SI",Datos!I15,Datos!I15+Datos!AC15)),IF(D_I="SI",Datos!I15,Datos!I15+Datos!AC15)," - ")</f>
        <v>472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158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3872</v>
      </c>
      <c r="Z15" s="619">
        <f>IF(ISNUMBER(Datos!Q15),Datos!Q15," - ")</f>
        <v>124</v>
      </c>
      <c r="AA15" s="332">
        <f>IF(ISNUMBER(IF(D_I="SI",Datos!L15,Datos!L15+Datos!AF15)),IF(D_I="SI",Datos!L15,Datos!L15+Datos!AF15)," - ")</f>
        <v>1851</v>
      </c>
      <c r="AB15" s="334"/>
      <c r="AC15" s="334"/>
      <c r="AD15" s="484"/>
      <c r="AE15" s="484">
        <f>IF(ISNUMBER(Datos!R15),Datos!R15," - ")</f>
        <v>221</v>
      </c>
      <c r="AF15" s="229" t="str">
        <f>IF(ISNUMBER(Datos!BV15),Datos!BV15," - ")</f>
        <v xml:space="preserve"> - </v>
      </c>
      <c r="AG15" s="225"/>
      <c r="AH15" s="298"/>
      <c r="AI15" s="227"/>
      <c r="AJ15" s="225">
        <f>IF(ISNUMBER(Datos!M15),Datos!M15," - ")</f>
        <v>434</v>
      </c>
      <c r="AK15" s="229">
        <f>IF(ISNUMBER(Datos!N15),Datos!N15," - ")</f>
        <v>2756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5.2585227272727275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875</v>
      </c>
      <c r="G16" s="225">
        <f>IF(ISNUMBER(IF(D_I="SI",Datos!I16,Datos!I16+Datos!AC16)),IF(D_I="SI",Datos!I16,Datos!I16+Datos!AC16)," - ")</f>
        <v>868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862</v>
      </c>
      <c r="Z16" s="619">
        <f>IF(ISNUMBER(Datos!Q16),Datos!Q16," - ")</f>
        <v>62</v>
      </c>
      <c r="AA16" s="332">
        <f>IF(ISNUMBER(IF(D_I="SI",Datos!L16,Datos!L16+Datos!AF16)),IF(D_I="SI",Datos!L16,Datos!L16+Datos!AF16)," - ")</f>
        <v>286</v>
      </c>
      <c r="AB16" s="334"/>
      <c r="AC16" s="334"/>
      <c r="AD16" s="484"/>
      <c r="AE16" s="484">
        <f>IF(ISNUMBER(Datos!R16),Datos!R16," - ")</f>
        <v>0</v>
      </c>
      <c r="AF16" s="229" t="str">
        <f>IF(ISNUMBER(Datos!BV16),Datos!BV16," - ")</f>
        <v xml:space="preserve"> - </v>
      </c>
      <c r="AG16" s="225"/>
      <c r="AH16" s="298"/>
      <c r="AI16" s="227"/>
      <c r="AJ16" s="225">
        <f>IF(ISNUMBER(Datos!M16),Datos!M16," - ")</f>
        <v>163</v>
      </c>
      <c r="AK16" s="229">
        <f>IF(ISNUMBER(Datos!N16),Datos!N16," - ")</f>
        <v>349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3.6496519721577725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334</v>
      </c>
      <c r="Z17" s="619">
        <f>IF(ISNUMBER(Datos!Q17),Datos!Q17," - ")</f>
        <v>8</v>
      </c>
      <c r="AA17" s="332">
        <f>IF(ISNUMBER(Datos!L17),Datos!L17,"-")</f>
        <v>213</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66</v>
      </c>
      <c r="AK17" s="229">
        <f>IF(ISNUMBER(Datos!N17),Datos!N17," - ")</f>
        <v>264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7.0149700598802394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row>
    <row r="18" spans="1:73" ht="15.75" thickTop="1" thickBot="1">
      <c r="A18" s="178"/>
      <c r="B18" s="178"/>
      <c r="C18" s="863" t="str">
        <f>Datos!A18</f>
        <v>TOTAL</v>
      </c>
      <c r="D18" s="863"/>
      <c r="E18" s="1169">
        <f>SUBTOTAL(9,E15:E17)</f>
        <v>3</v>
      </c>
      <c r="F18" s="898">
        <f>SUBTOTAL(9,F15:F17)</f>
        <v>1254</v>
      </c>
      <c r="G18" s="898">
        <f>SUBTOTAL(9,G15:G17)</f>
        <v>1447</v>
      </c>
      <c r="H18" s="932">
        <f>SUBTOTAL(9,H15:H17)</f>
        <v>0</v>
      </c>
      <c r="I18" s="911">
        <f>SUBTOTAL(9,I15:I17)</f>
        <v>0</v>
      </c>
      <c r="J18" s="867">
        <f>SUBTOTAL(9,J14:J17)</f>
        <v>0</v>
      </c>
      <c r="K18" s="932">
        <f t="shared" ref="K18:S18" si="4">SUBTOTAL(9,K15:K17)</f>
        <v>0</v>
      </c>
      <c r="L18" s="932">
        <f t="shared" si="4"/>
        <v>0</v>
      </c>
      <c r="M18" s="932">
        <f t="shared" si="4"/>
        <v>0</v>
      </c>
      <c r="N18" s="932">
        <f t="shared" si="4"/>
        <v>176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5068</v>
      </c>
      <c r="Z18" s="932">
        <f t="shared" si="5"/>
        <v>194</v>
      </c>
      <c r="AA18" s="932">
        <f t="shared" si="5"/>
        <v>2350</v>
      </c>
      <c r="AB18" s="932">
        <f t="shared" si="5"/>
        <v>0</v>
      </c>
      <c r="AC18" s="932">
        <f t="shared" si="5"/>
        <v>0</v>
      </c>
      <c r="AD18" s="932">
        <f t="shared" si="5"/>
        <v>0</v>
      </c>
      <c r="AE18" s="932">
        <f t="shared" si="5"/>
        <v>223</v>
      </c>
      <c r="AF18" s="932">
        <f t="shared" si="5"/>
        <v>0</v>
      </c>
      <c r="AG18" s="932">
        <f t="shared" si="5"/>
        <v>0</v>
      </c>
      <c r="AH18" s="932">
        <f t="shared" si="5"/>
        <v>0</v>
      </c>
      <c r="AI18" s="932">
        <f t="shared" si="5"/>
        <v>0</v>
      </c>
      <c r="AJ18" s="932">
        <f t="shared" si="5"/>
        <v>663</v>
      </c>
      <c r="AK18" s="932">
        <f t="shared" si="5"/>
        <v>3369</v>
      </c>
      <c r="AL18" s="932">
        <f t="shared" si="5"/>
        <v>0</v>
      </c>
      <c r="AM18" s="932">
        <f t="shared" si="5"/>
        <v>0</v>
      </c>
      <c r="AN18" s="932">
        <f t="shared" si="5"/>
        <v>0</v>
      </c>
      <c r="AO18" s="934">
        <f>IF(ISNUMBER(((NºAsuntos!I18/NºAsuntos!G18)*11)/factor_trimestre),((NºAsuntos!I18/NºAsuntos!G18)*11)/factor_trimestre," - ")</f>
        <v>5.1006314127861092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1282</v>
      </c>
      <c r="G19" s="820">
        <f t="shared" si="7"/>
        <v>1475</v>
      </c>
      <c r="H19" s="821">
        <f t="shared" si="7"/>
        <v>0</v>
      </c>
      <c r="I19" s="820">
        <f t="shared" si="7"/>
        <v>0</v>
      </c>
      <c r="J19" s="822">
        <f t="shared" si="7"/>
        <v>0</v>
      </c>
      <c r="K19" s="820">
        <f t="shared" si="7"/>
        <v>0</v>
      </c>
      <c r="L19" s="823">
        <f t="shared" si="7"/>
        <v>0</v>
      </c>
      <c r="M19" s="820">
        <f t="shared" si="7"/>
        <v>0</v>
      </c>
      <c r="N19" s="821">
        <f t="shared" si="7"/>
        <v>1437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5129</v>
      </c>
      <c r="Z19" s="827">
        <f t="shared" si="8"/>
        <v>1066</v>
      </c>
      <c r="AA19" s="828">
        <f t="shared" si="8"/>
        <v>2374</v>
      </c>
      <c r="AB19" s="828">
        <f t="shared" si="8"/>
        <v>0</v>
      </c>
      <c r="AC19" s="828">
        <f t="shared" si="8"/>
        <v>0</v>
      </c>
      <c r="AD19" s="829">
        <f t="shared" si="8"/>
        <v>0</v>
      </c>
      <c r="AE19" s="829">
        <f t="shared" si="8"/>
        <v>6900</v>
      </c>
      <c r="AF19" s="830">
        <f t="shared" si="8"/>
        <v>0</v>
      </c>
      <c r="AG19" s="831">
        <f t="shared" si="8"/>
        <v>0</v>
      </c>
      <c r="AH19" s="832">
        <f t="shared" si="8"/>
        <v>0</v>
      </c>
      <c r="AI19" s="830">
        <f t="shared" si="8"/>
        <v>0</v>
      </c>
      <c r="AJ19" s="820">
        <f t="shared" si="8"/>
        <v>2419</v>
      </c>
      <c r="AK19" s="820">
        <f t="shared" si="8"/>
        <v>5415</v>
      </c>
      <c r="AL19" s="820">
        <f t="shared" si="8"/>
        <v>0</v>
      </c>
      <c r="AM19" s="833">
        <f t="shared" si="8"/>
        <v>0</v>
      </c>
      <c r="AN19" s="823">
        <f>IF(ISNUMBER(Datos!K19/Datos!J19),Datos!K19/Datos!J19," - ")</f>
        <v>0.82942097026604067</v>
      </c>
      <c r="AO19" s="823">
        <f>IF(ISNUMBER(FIND("06",Criterios!A8,1)),(IF(ISNUMBER(((Datos!R19/Datos!Q19)*11)/factor_trimestre),((Datos!R19/Datos!Q19)*11)/factor_trimestre," - ")),(IF(ISNUMBER(((Datos!L19/Datos!K19)*11)/factor_trimestre),((Datos!L19/Datos!K19)*11)/factor_trimestre," - ")))</f>
        <v>5.8004492362982933</v>
      </c>
      <c r="AP19" s="834" t="str">
        <f>IF(ISNUMBER(Datos!CI19/Datos!CJ19),Datos!CI19/Datos!CJ19," - ")</f>
        <v xml:space="preserve"> - </v>
      </c>
      <c r="AQ19" s="834">
        <f>IF(OR(ISNUMBER(FIND("01",Criterios!A8,1)),ISNUMBER(FIND("02",Criterios!A8,1)),ISNUMBER(FIND("03",Criterios!A8,1)),ISNUMBER(FIND("04",Criterios!A8,1))),(J19-Y19+K19)/(F19-K19),(I19-Y19+K19)/(F19-K19))</f>
        <v>-4.0007800312012485</v>
      </c>
      <c r="AR19" s="834">
        <f>IF(ISNUMBER((Datos!P19-Datos!Q19+O19)/(Datos!R19-Datos!P19+Datos!Q19-O19)),(Datos!P19-Datos!Q19+O19)/(Datos!R19-Datos!P19+Datos!Q19-O19)," - ")</f>
        <v>5.6823403277684176E-2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491.66666666666669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540.49301568105398</v>
      </c>
      <c r="G21" s="552">
        <f>IF(ISNUMBER(STDEV(G8:G18)),STDEV(G8:G18),"-")</f>
        <v>571.4223190134129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660.46774550854707</v>
      </c>
      <c r="AK21" s="252"/>
      <c r="AL21" s="252">
        <f>IF(ISNUMBER(STDEV(AL8:AL18)),STDEV(AL8:AL18),"-")</f>
        <v>0</v>
      </c>
      <c r="AM21" s="254">
        <f>IF(ISNUMBER(STDEV(AM8:AM18)),STDEV(AM8:AM18),"-")</f>
        <v>0</v>
      </c>
      <c r="AN21" s="539">
        <f>IF(ISNUMBER(STDEV(AN8:AN18)),STDEV(AN8:AN18),"-")</f>
        <v>0</v>
      </c>
      <c r="AO21" s="540">
        <f>IF(ISNUMBER(STDEV(AO8:AO18)),STDEV(AO8:AO18),"-")</f>
        <v>1.9720746075796867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09 may. 2024</v>
      </c>
    </row>
    <row r="32" spans="1:73" ht="13.5" thickBot="1">
      <c r="C32" s="536"/>
      <c r="D32" s="527"/>
      <c r="E32" s="527"/>
    </row>
    <row r="33" spans="12:12" ht="15" thickBot="1">
      <c r="L33" s="546"/>
    </row>
  </sheetData>
  <sheetProtection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2023  Trimestres 1 al 4</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LEÓN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2023                  Trimestre   1 al 4</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LEÓN</v>
      </c>
    </row>
    <row r="2" spans="1:75" ht="16.5" customHeight="1">
      <c r="C2" s="488" t="str">
        <f>Criterios!A10 &amp;"  "&amp;Criterios!B10 &amp; "  " &amp; IF(NOT(ISBLANK(Criterios!A11)),Criterios!A11 &amp;"  "&amp;Criterios!B11,"")</f>
        <v>Provincias  LEON  Resumenes por Partidos Judiciales  PONFERRADA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2023          Trimestre   1 al 4</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0.2686658506731946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0.18997544488426826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09 may. 2024</v>
      </c>
    </row>
    <row r="32" spans="1:75">
      <c r="C32" s="774"/>
      <c r="D32" s="774"/>
    </row>
  </sheetData>
  <sheetProtection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LEÓN</v>
      </c>
      <c r="C2" s="375"/>
      <c r="D2" s="375"/>
      <c r="E2" s="375"/>
      <c r="F2" s="375"/>
    </row>
    <row r="3" spans="1:14" ht="19.5">
      <c r="A3" s="390" t="s">
        <v>115</v>
      </c>
      <c r="B3" s="391" t="str">
        <f>Criterios!A10 &amp;"  "&amp;Criterios!B10</f>
        <v>Provincias  LEON</v>
      </c>
      <c r="D3" s="375"/>
      <c r="E3" s="375"/>
      <c r="F3" s="375"/>
    </row>
    <row r="4" spans="1:14" ht="13.5" thickBot="1">
      <c r="A4" s="375"/>
      <c r="B4" s="391" t="str">
        <f>Criterios!A11 &amp;"  "&amp;Criterios!B11</f>
        <v>Resumenes por Partidos Judiciales  PONFERRADA</v>
      </c>
      <c r="C4" s="375"/>
      <c r="D4" s="375"/>
      <c r="E4" s="375"/>
      <c r="F4" s="375"/>
    </row>
    <row r="5" spans="1:14" ht="15.75" customHeight="1">
      <c r="A5" s="1196" t="str">
        <f>"Año:  " &amp;Criterios!B5 &amp; "     Trimestre   " &amp;Criterios!D5 &amp; " al " &amp;Criterios!D6</f>
        <v>Año:  2023     Trimestre   1 al 4</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1428</v>
      </c>
      <c r="D9" s="404" t="str">
        <f>IF(ISNUMBER(C9/Datos!BH9),C9/Datos!BH9," - ")</f>
        <v xml:space="preserve"> - </v>
      </c>
      <c r="E9" s="403">
        <f>IF(ISNUMBER(IF(J_V="SI",Datos!J9,Datos!J9+Datos!Z9)),IF(J_V="SI",Datos!J9,Datos!J9+Datos!Z9)," - ")</f>
        <v>7572</v>
      </c>
      <c r="F9" s="404">
        <f>IF(ISNUMBER(E9/B9),E9/B9," - ")</f>
        <v>1514.4</v>
      </c>
      <c r="G9" s="403">
        <f>IF(ISNUMBER(IF(J_V="SI",Datos!K9,Datos!K9+Datos!AA9)),IF(J_V="SI",Datos!K9,Datos!K9+Datos!AA9)," - ")</f>
        <v>5499</v>
      </c>
      <c r="H9" s="404">
        <f>IF(ISNUMBER(G9/B9),G9/B9," - ")</f>
        <v>1099.8</v>
      </c>
      <c r="I9" s="403">
        <f>IF(ISNUMBER(IF(J_V="SI",Datos!L9,Datos!L9+Datos!AB9)),IF(J_V="SI",Datos!L9,Datos!L9+Datos!AB9)," - ")</f>
        <v>3461</v>
      </c>
      <c r="J9" s="404">
        <f>IF(ISNUMBER(I9/B9),I9/B9," - ")</f>
        <v>692.2</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28</v>
      </c>
      <c r="D10" s="404">
        <f>IF(ISNUMBER(C10/Datos!BH10),C10/Datos!BH10," - ")</f>
        <v>28</v>
      </c>
      <c r="E10" s="403">
        <f>IF(ISNUMBER(Datos!J10),Datos!J10," - ")</f>
        <v>57</v>
      </c>
      <c r="F10" s="404">
        <f>IF(ISNUMBER(E10/B10),E10/B10," - ")</f>
        <v>57</v>
      </c>
      <c r="G10" s="403">
        <f>IF(ISNUMBER(Datos!K10),Datos!K10," - ")</f>
        <v>61</v>
      </c>
      <c r="H10" s="404">
        <f>IF(ISNUMBER(G10/B10),G10/B10," - ")</f>
        <v>61</v>
      </c>
      <c r="I10" s="403">
        <f>IF(ISNUMBER(Datos!L10),Datos!L10," - ")</f>
        <v>24</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883</v>
      </c>
      <c r="D12" s="404">
        <f>IF(ISNUMBER(C12/Datos!BH12),C12/Datos!BH12," - ")</f>
        <v>110.375</v>
      </c>
      <c r="E12" s="403">
        <f>IF(ISNUMBER(IF(J_V="SI",Datos!J12,Datos!J12+Datos!Z12)),IF(J_V="SI",Datos!J12,Datos!J12+Datos!Z12)," - ")</f>
        <v>180</v>
      </c>
      <c r="F12" s="404" t="str">
        <f>IF(ISNUMBER(E12/B12),E12/B12," - ")</f>
        <v xml:space="preserve"> - </v>
      </c>
      <c r="G12" s="403">
        <f>IF(ISNUMBER(IF(J_V="SI",Datos!K12,Datos!K12+Datos!AA12)),IF(J_V="SI",Datos!K12,Datos!K12+Datos!AA12)," - ")</f>
        <v>976</v>
      </c>
      <c r="H12" s="404" t="str">
        <f>IF(ISNUMBER(G12/B12),G12/B12," - ")</f>
        <v xml:space="preserve"> - </v>
      </c>
      <c r="I12" s="403">
        <f>IF(ISNUMBER(IF(J_V="SI",Datos!L12,Datos!L12+Datos!AB12)),IF(J_V="SI",Datos!L12,Datos!L12+Datos!AB12)," - ")</f>
        <v>87</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2339</v>
      </c>
      <c r="D13" s="850" t="str">
        <f>IF(ISNUMBER(C13/Datos!BI13),C13/Datos!BI13," - ")</f>
        <v xml:space="preserve"> - </v>
      </c>
      <c r="E13" s="849">
        <f>SUBTOTAL(9,E8:E12)</f>
        <v>7809</v>
      </c>
      <c r="F13" s="850">
        <f>IF(ISNUMBER(E13/B13),E13/B13," - ")</f>
        <v>1561.8</v>
      </c>
      <c r="G13" s="849">
        <f>SUBTOTAL(9,G8:G12)</f>
        <v>6536</v>
      </c>
      <c r="H13" s="850">
        <f>IF(ISNUMBER(G13/B13),G13/B13," - ")</f>
        <v>1307.2</v>
      </c>
      <c r="I13" s="849">
        <f>SUBTOTAL(9,I8:I12)</f>
        <v>3572</v>
      </c>
      <c r="J13" s="850">
        <f>IF(ISNUMBER(I13/B13),I13/B13," - ")</f>
        <v>714.4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472</v>
      </c>
      <c r="D15" s="404" t="str">
        <f>IF(ISNUMBER(C15/Datos!BH15),C15/Datos!BH15," - ")</f>
        <v xml:space="preserve"> - </v>
      </c>
      <c r="E15" s="403">
        <f>IF(ISNUMBER(IF(D_I="SI",Datos!J15,Datos!J15+Datos!AD15)),IF(D_I="SI",Datos!J15,Datos!J15+Datos!AD15)," - ")</f>
        <v>5344</v>
      </c>
      <c r="F15" s="404">
        <f>IF(ISNUMBER(E15/B15),E15/B15," - ")</f>
        <v>1781.3333333333333</v>
      </c>
      <c r="G15" s="403">
        <f>IF(ISNUMBER(IF(D_I="SI",Datos!K15,Datos!K15+Datos!AE15)),IF(D_I="SI",Datos!K15,Datos!K15+Datos!AE15)," - ")</f>
        <v>3872</v>
      </c>
      <c r="H15" s="404">
        <f>IF(ISNUMBER(G15/B15),G15/B15," - ")</f>
        <v>1290.6666666666667</v>
      </c>
      <c r="I15" s="403">
        <f>IF(ISNUMBER(IF(D_I="SI",Datos!L15,Datos!L15+Datos!AF15)),IF(D_I="SI",Datos!L15,Datos!L15+Datos!AF15)," - ")</f>
        <v>1851</v>
      </c>
      <c r="J15" s="404">
        <f>IF(ISNUMBER(I15/B15),I15/B15," - ")</f>
        <v>617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868</v>
      </c>
      <c r="D16" s="404">
        <f>IF(ISNUMBER(C16/Datos!BH16),C16/Datos!BH16," - ")</f>
        <v>108.5</v>
      </c>
      <c r="E16" s="403">
        <f>IF(ISNUMBER(IF(D_I="SI",Datos!J16,Datos!J16+Datos!AD16)),IF(D_I="SI",Datos!J16,Datos!J16+Datos!AD16)," - ")</f>
        <v>273</v>
      </c>
      <c r="F16" s="404" t="str">
        <f>IF(ISNUMBER(E16/B16),E16/B16," - ")</f>
        <v xml:space="preserve"> - </v>
      </c>
      <c r="G16" s="403">
        <f>IF(ISNUMBER(IF(D_I="SI",Datos!K16,Datos!K16+Datos!AE16)),IF(D_I="SI",Datos!K16,Datos!K16+Datos!AE16)," - ")</f>
        <v>862</v>
      </c>
      <c r="H16" s="404" t="str">
        <f>IF(ISNUMBER(G16/B16),G16/B16," - ")</f>
        <v xml:space="preserve"> - </v>
      </c>
      <c r="I16" s="403">
        <f>IF(ISNUMBER(IF(D_I="SI",Datos!L16,Datos!L16+Datos!AF16)),IF(D_I="SI",Datos!L16,Datos!L16+Datos!AF16)," - ")</f>
        <v>286</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107</v>
      </c>
      <c r="D17" s="404">
        <f>IF(ISNUMBER(C17/Datos!BH17),C17/Datos!BH17," - ")</f>
        <v>107</v>
      </c>
      <c r="E17" s="403">
        <f>IF(ISNUMBER(IF(D_I="SI",Datos!J17,Datos!J17+Datos!AD17)),IF(D_I="SI",Datos!J17,Datos!J17+Datos!AD17)," - ")</f>
        <v>461</v>
      </c>
      <c r="F17" s="404">
        <f>IF(ISNUMBER(E17/B17),E17/B17," - ")</f>
        <v>461</v>
      </c>
      <c r="G17" s="403">
        <f>IF(ISNUMBER(IF(D_I="SI",Datos!K17,Datos!K17+Datos!AE17)),IF(D_I="SI",Datos!K17,Datos!K17+Datos!AE17)," - ")</f>
        <v>334</v>
      </c>
      <c r="H17" s="404">
        <f>IF(ISNUMBER(G17/B17),G17/B17," - ")</f>
        <v>334</v>
      </c>
      <c r="I17" s="403">
        <f>IF(ISNUMBER(IF(D_I="SI",Datos!L17,Datos!L17+Datos!AF17)),IF(D_I="SI",Datos!L17,Datos!L17+Datos!AF17)," - ")</f>
        <v>213</v>
      </c>
      <c r="J17" s="404">
        <f>IF(ISNUMBER(I17/B17),I17/B17," - ")</f>
        <v>213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1447</v>
      </c>
      <c r="D18" s="850" t="str">
        <f>IF(ISNUMBER(C18/Datos!BI18),C18/Datos!BI18," - ")</f>
        <v xml:space="preserve"> - </v>
      </c>
      <c r="E18" s="849">
        <f>SUBTOTAL(9,E14:E17)</f>
        <v>6078</v>
      </c>
      <c r="F18" s="850">
        <f>IF(ISNUMBER(E18/B18),E18/B18," - ")</f>
        <v>2026</v>
      </c>
      <c r="G18" s="849">
        <f>SUBTOTAL(9,G14:G17)</f>
        <v>5068</v>
      </c>
      <c r="H18" s="850">
        <f>IF(ISNUMBER(G18/B18),G18/B18," - ")</f>
        <v>1689.3333333333333</v>
      </c>
      <c r="I18" s="849">
        <f>SUBTOTAL(9,I14:I17)</f>
        <v>2350</v>
      </c>
      <c r="J18" s="850">
        <f>IF(ISNUMBER(I18/B18),I18/B18," - ")</f>
        <v>783.33333333333337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3786</v>
      </c>
      <c r="D19" s="795" t="str">
        <f>IF(ISNUMBER(C19/Datos!BI19),C19/Datos!BI19," - ")</f>
        <v xml:space="preserve"> - </v>
      </c>
      <c r="E19" s="794">
        <f>SUBTOTAL(9,E9:E18)</f>
        <v>13887</v>
      </c>
      <c r="F19" s="795">
        <f>IF(ISNUMBER(E19/B19),E19/B19," - ")</f>
        <v>1735.875</v>
      </c>
      <c r="G19" s="794">
        <f>SUBTOTAL(9,G9:G18)</f>
        <v>11604</v>
      </c>
      <c r="H19" s="795">
        <f>IF(ISNUMBER(G19/B19),G19/B19," - ")</f>
        <v>1450.5</v>
      </c>
      <c r="I19" s="794">
        <f>SUBTOTAL(9,I9:I18)</f>
        <v>5922</v>
      </c>
      <c r="J19" s="795">
        <f>IF(ISNUMBER(I19/B19),I19/B19," - ")</f>
        <v>740.25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09 may. 2024</v>
      </c>
    </row>
    <row r="27" spans="1:14">
      <c r="A27" s="414"/>
    </row>
  </sheetData>
  <sheetProtection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LEÓN</v>
      </c>
      <c r="W1"/>
      <c r="X1"/>
    </row>
    <row r="2" spans="1:65" ht="16.5" customHeight="1">
      <c r="C2" s="488" t="str">
        <f>Criterios!A10 &amp;"  "&amp;Criterios!B10 &amp; "  " &amp; IF(NOT(ISBLANK(Criterios!A11)),Criterios!A11 &amp;"  "&amp;Criterios!B11,"")</f>
        <v>Provincias  LEON  Resumenes por Partidos Judiciales  PONFERRADA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2023          Trimestre   1 al 4</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28</v>
      </c>
      <c r="G10" s="684">
        <f>IF(ISNUMBER(Datos!I10),Datos!I10," - ")</f>
        <v>28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61</v>
      </c>
      <c r="AC10" s="683" t="str">
        <f>IF(ISNUMBER(IF(D_I="SI",DatosP!K17,DatosP!K17+DatosP!AE17)),IF(D_I="SI",DatosP!K17,DatosP!K17+DatosP!AE17)," - ")</f>
        <v xml:space="preserve"> - </v>
      </c>
      <c r="AD10" s="685"/>
      <c r="AE10" s="685"/>
      <c r="AF10" s="688">
        <f>IF(ISNUMBER(Datos!L10),Datos!L10,"-")</f>
        <v>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25</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4.3278688524590159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1915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258</v>
      </c>
      <c r="AM12" s="690">
        <f>IF(ISNUMBER(Datos!N12+DatosP!N16),Datos!N12+DatosP!N16," - ")</f>
        <v>332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0.98053278688524592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-0.18510638297872339</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28</v>
      </c>
      <c r="G13" s="938">
        <f t="shared" si="0"/>
        <v>28</v>
      </c>
      <c r="H13" s="938">
        <f t="shared" si="0"/>
        <v>0</v>
      </c>
      <c r="I13" s="940">
        <f t="shared" si="0"/>
        <v>0</v>
      </c>
      <c r="J13" s="939">
        <f t="shared" si="0"/>
        <v>0</v>
      </c>
      <c r="K13" s="939">
        <f t="shared" si="0"/>
        <v>0</v>
      </c>
      <c r="L13" s="941">
        <f t="shared" si="0"/>
        <v>0</v>
      </c>
      <c r="M13" s="941">
        <f t="shared" si="0"/>
        <v>0</v>
      </c>
      <c r="N13" s="939">
        <f t="shared" si="0"/>
        <v>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61</v>
      </c>
      <c r="AC13" s="939">
        <f t="shared" si="1"/>
        <v>0</v>
      </c>
      <c r="AD13" s="939">
        <f t="shared" si="1"/>
        <v>435</v>
      </c>
      <c r="AE13" s="939">
        <f t="shared" si="1"/>
        <v>0</v>
      </c>
      <c r="AF13" s="939">
        <f t="shared" si="1"/>
        <v>24</v>
      </c>
      <c r="AG13" s="939">
        <f t="shared" si="1"/>
        <v>0</v>
      </c>
      <c r="AH13" s="939">
        <f t="shared" si="1"/>
        <v>1915</v>
      </c>
      <c r="AI13" s="939">
        <f t="shared" si="1"/>
        <v>0</v>
      </c>
      <c r="AJ13" s="939">
        <f t="shared" si="1"/>
        <v>0</v>
      </c>
      <c r="AK13" s="939">
        <f t="shared" si="1"/>
        <v>0</v>
      </c>
      <c r="AL13" s="939">
        <f t="shared" si="1"/>
        <v>283</v>
      </c>
      <c r="AM13" s="939">
        <f t="shared" si="1"/>
        <v>340</v>
      </c>
      <c r="AN13" s="939">
        <f t="shared" si="1"/>
        <v>0</v>
      </c>
      <c r="AO13" s="939">
        <f t="shared" si="1"/>
        <v>0</v>
      </c>
      <c r="AP13" s="944">
        <f>IF(ISNUMBER(((Datos!L13/Datos!K13)*11)/factor_trimestre),((Datos!L13/Datos!K13)*11)/factor_trimestre," - ")</f>
        <v>6.3855163312438146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-2.1785714285714284</v>
      </c>
      <c r="AU13" s="939" t="str">
        <f>IF(ISNUMBER((DatosP!#REF!-DatosP!#REF!+DatosP!#REF!)/(DatosP!#REF!+DatosP!#REF!-DatosP!#REF!-DatosP!#REF!)),(DatosP!#REF!-DatosP!#REF!+DatosP!#REF!)/(DatosP!#REF!+DatosP!#REF!-DatosP!#REF!-DatosP!#REF!)," - ")</f>
        <v xml:space="preserve"> - </v>
      </c>
      <c r="AV13" s="945">
        <f>SUBTOTAL(9,AV9:AV12)</f>
        <v>-0.18510638297872339</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5.1006314127861092</v>
      </c>
      <c r="AQ18" s="944">
        <f>IF(ISNUMBER(((Datos!M18/Datos!L18)*11)/factor_trimestre),((Datos!M18/Datos!L18)*11)/factor_trimestre," - ")</f>
        <v>3.1034042553191488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-7.4688796680497924E-2</v>
      </c>
      <c r="AW18" s="946">
        <f>IF(ISNUMBER((Datos!Q18-Datos!R18)/(Datos!S18-Datos!Q18+Datos!R18)),(Datos!Q18-Datos!R18)/(Datos!S18-Datos!Q18+Datos!R18)," - ")</f>
        <v>-2.2103658536585365E-2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28</v>
      </c>
      <c r="G19" s="951">
        <f t="shared" si="4"/>
        <v>28</v>
      </c>
      <c r="H19" s="951">
        <f t="shared" si="4"/>
        <v>0</v>
      </c>
      <c r="I19" s="952">
        <f t="shared" si="4"/>
        <v>0</v>
      </c>
      <c r="J19" s="953">
        <f t="shared" si="4"/>
        <v>0</v>
      </c>
      <c r="K19" s="953">
        <f t="shared" si="4"/>
        <v>0</v>
      </c>
      <c r="L19" s="953">
        <f t="shared" si="4"/>
        <v>0</v>
      </c>
      <c r="M19" s="953">
        <f t="shared" si="4"/>
        <v>0</v>
      </c>
      <c r="N19" s="952">
        <f t="shared" si="4"/>
        <v>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61</v>
      </c>
      <c r="AC19" s="957">
        <f t="shared" si="5"/>
        <v>0</v>
      </c>
      <c r="AD19" s="957">
        <f t="shared" si="5"/>
        <v>435</v>
      </c>
      <c r="AE19" s="957">
        <f t="shared" si="5"/>
        <v>0</v>
      </c>
      <c r="AF19" s="958">
        <f t="shared" si="5"/>
        <v>24</v>
      </c>
      <c r="AG19" s="958">
        <f t="shared" si="5"/>
        <v>0</v>
      </c>
      <c r="AH19" s="958">
        <f t="shared" si="5"/>
        <v>1915</v>
      </c>
      <c r="AI19" s="958">
        <f t="shared" si="5"/>
        <v>0</v>
      </c>
      <c r="AJ19" s="959">
        <f t="shared" si="5"/>
        <v>0</v>
      </c>
      <c r="AK19" s="959">
        <f t="shared" si="5"/>
        <v>0</v>
      </c>
      <c r="AL19" s="951">
        <f t="shared" si="5"/>
        <v>283</v>
      </c>
      <c r="AM19" s="951">
        <f t="shared" si="5"/>
        <v>340</v>
      </c>
      <c r="AN19" s="951">
        <f t="shared" si="5"/>
        <v>0</v>
      </c>
      <c r="AO19" s="951">
        <f t="shared" si="5"/>
        <v>0</v>
      </c>
      <c r="AP19" s="951">
        <f>IF(ISNUMBER(((Datos!L19/Datos!K19)*11)/factor_trimestre),((Datos!L19/Datos!K19)*11)/factor_trimestre," - ")</f>
        <v>5.8004492362982933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-2.1785714285714284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5.6823403277684176E-2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16.165807537309522</v>
      </c>
      <c r="G21" s="737">
        <f>IF(ISNUMBER(STDEV(G8:G18)),STDEV(G8:G18),"-")</f>
        <v>16.165807537309522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35.218366420567172</v>
      </c>
      <c r="AC21" s="738">
        <f>IF(ISNUMBER(STDEV(AC8:AC18)),STDEV(AC8:AC18),"-")</f>
        <v>0</v>
      </c>
      <c r="AD21" s="741"/>
      <c r="AE21" s="741"/>
      <c r="AF21" s="741"/>
      <c r="AG21" s="741"/>
      <c r="AH21" s="741"/>
      <c r="AI21" s="741"/>
      <c r="AJ21" s="742">
        <f>IF(ISNUMBER(STDEV(AJ8:AJ18)),STDEV(AJ8:AJ18),"-")</f>
        <v>0</v>
      </c>
      <c r="AK21" s="744"/>
      <c r="AL21" s="736">
        <f>IF(ISNUMBER(STDEV(AL8:AL18)),STDEV(AL8:AL18),"-")</f>
        <v>149.65404549604844</v>
      </c>
      <c r="AM21" s="736"/>
      <c r="AN21" s="736">
        <f>IF(ISNUMBER(STDEV(AN8:AN18)),STDEV(AN8:AN18),"-")</f>
        <v>0</v>
      </c>
      <c r="AO21" s="742">
        <f>IF(ISNUMBER(STDEV(AO8:AO18)),STDEV(AO8:AO18),"-")</f>
        <v>0</v>
      </c>
      <c r="AP21" s="779">
        <f>IF(ISNUMBER(STDEV(AP8:AP18)),STDEV(AP8:AP18),"-")</f>
        <v>2.3071577556433067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09 may. 2024</v>
      </c>
      <c r="W30"/>
      <c r="X30"/>
    </row>
    <row r="32" spans="1:65">
      <c r="C32" s="774"/>
      <c r="D32" s="774"/>
      <c r="W32"/>
      <c r="X32"/>
    </row>
  </sheetData>
  <sheetProtection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LEÓN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PONFERRADA</v>
      </c>
      <c r="C4" s="375"/>
      <c r="E4" s="375"/>
      <c r="F4" s="375"/>
      <c r="G4" s="375"/>
      <c r="H4" s="375"/>
    </row>
    <row r="5" spans="1:15" ht="15.75" customHeight="1">
      <c r="A5" s="1208" t="str">
        <f>"Año:  " &amp;Criterios!B5</f>
        <v>Año:  2023</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f>IF(ISNUMBER(E12/Datos!BH12),E12/Datos!BH12," - ")</f>
        <v>0</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f>IF(ISNUMBER(E16/Datos!BH16),E16/Datos!BH16," - ")</f>
        <v>0</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09 may. 2024</v>
      </c>
      <c r="B23" s="391"/>
      <c r="C23" s="391"/>
    </row>
    <row r="27" spans="1:13">
      <c r="A27" s="414"/>
      <c r="B27" s="414"/>
      <c r="C27" s="414"/>
    </row>
  </sheetData>
  <sheetProtection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LEÓN</v>
      </c>
      <c r="C2" s="391"/>
    </row>
    <row r="3" spans="1:9" ht="19.5">
      <c r="A3" s="425" t="s">
        <v>11</v>
      </c>
      <c r="B3" s="391" t="str">
        <f>Criterios!A10 &amp;"  "&amp;Criterios!B10</f>
        <v>Provincias  LEON</v>
      </c>
      <c r="C3" s="391"/>
      <c r="D3" s="425"/>
    </row>
    <row r="4" spans="1:9" ht="13.5" thickBot="1">
      <c r="B4" s="391" t="str">
        <f>Criterios!A11 &amp;"  "&amp;Criterios!B11</f>
        <v>Resumenes por Partidos Judiciales  PONFERRADA</v>
      </c>
    </row>
    <row r="5" spans="1:9" ht="15.75" customHeight="1">
      <c r="A5" s="1208" t="str">
        <f>"Año:  " &amp;Criterios!B5 &amp; "                  Trimestre   " &amp;Criterios!D5 &amp; " al " &amp;Criterios!D6</f>
        <v>Año:  2023                  Trimestre   1 al 4</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1473</v>
      </c>
      <c r="E9" s="404">
        <f t="shared" ref="E9:E13" si="0">IF(ISNUMBER(D9/B9),D9/B9," - ")</f>
        <v>294.60000000000002</v>
      </c>
      <c r="F9" s="403">
        <f>IF(ISNUMBER(Datos!N9),Datos!N9," - ")</f>
        <v>1706</v>
      </c>
      <c r="G9" s="404">
        <f t="shared" ref="G9:G13" si="1">IF(ISNUMBER(F9/B9),F9/B9," - ")</f>
        <v>341.2</v>
      </c>
      <c r="H9" s="403">
        <f>IF(ISNUMBER(Datos!O9),Datos!O9," - ")</f>
        <v>2101</v>
      </c>
      <c r="I9" s="404">
        <f>IF(ISNUMBER(H9/B9),H9/B9," - ")</f>
        <v>420.2</v>
      </c>
    </row>
    <row r="10" spans="1:9">
      <c r="A10" s="402" t="str">
        <f>Datos!A10</f>
        <v>Jdos. Violencia contra la mujer</v>
      </c>
      <c r="B10" s="427">
        <f>Datos!AO10</f>
        <v>1</v>
      </c>
      <c r="C10" s="410">
        <f>Datos!AQ10</f>
        <v>0</v>
      </c>
      <c r="D10" s="403">
        <f>IF(ISNUMBER(Datos!M10),Datos!M10," - ")</f>
        <v>25</v>
      </c>
      <c r="E10" s="404">
        <f>IF(ISNUMBER(D10/B10),D10/B10," - ")</f>
        <v>25</v>
      </c>
      <c r="F10" s="403">
        <f>IF(ISNUMBER(Datos!N10),Datos!N10," - ")</f>
        <v>8</v>
      </c>
      <c r="G10" s="404">
        <f>IF(ISNUMBER(F10/B10),F10/B10," - ")</f>
        <v>8</v>
      </c>
      <c r="H10" s="403">
        <f>IF(ISNUMBER(Datos!O10),Datos!O10," - ")</f>
        <v>6</v>
      </c>
      <c r="I10" s="404">
        <f t="shared" ref="I10:I12" si="2">IF(ISNUMBER(H10/B10),H10/B10," - ")</f>
        <v>6</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f>IF(ISNUMBER(Datos!M12),Datos!M12," - ")</f>
        <v>258</v>
      </c>
      <c r="E12" s="404" t="str">
        <f t="shared" si="0"/>
        <v xml:space="preserve"> - </v>
      </c>
      <c r="F12" s="403">
        <f>IF(ISNUMBER(Datos!N12),Datos!N12," - ")</f>
        <v>332</v>
      </c>
      <c r="G12" s="404" t="str">
        <f t="shared" si="1"/>
        <v xml:space="preserve"> - </v>
      </c>
      <c r="H12" s="403">
        <f>IF(ISNUMBER(Datos!O12),Datos!O12," - ")</f>
        <v>602</v>
      </c>
      <c r="I12" s="404" t="str">
        <f t="shared" si="2"/>
        <v xml:space="preserve"> - </v>
      </c>
    </row>
    <row r="13" spans="1:9" ht="14.25" thickTop="1" thickBot="1">
      <c r="A13" s="848" t="str">
        <f>Datos!A13</f>
        <v>TOTAL</v>
      </c>
      <c r="B13" s="849">
        <f>Datos!AO13</f>
        <v>6</v>
      </c>
      <c r="C13" s="851">
        <f>Datos!AR13</f>
        <v>5</v>
      </c>
      <c r="D13" s="849">
        <f>SUBTOTAL(9,D9:D12)</f>
        <v>1756</v>
      </c>
      <c r="E13" s="850">
        <f t="shared" si="0"/>
        <v>292.66666666666669</v>
      </c>
      <c r="F13" s="849">
        <f>SUBTOTAL(9,F9:F12)</f>
        <v>2046</v>
      </c>
      <c r="G13" s="850">
        <f t="shared" si="1"/>
        <v>341</v>
      </c>
      <c r="H13" s="849">
        <f>SUBTOTAL(9,H9:H12)</f>
        <v>2709</v>
      </c>
      <c r="I13" s="850">
        <f>IF(ISNUMBER(H13/B13),H13/B13," - ")</f>
        <v>451.5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434</v>
      </c>
      <c r="E15" s="404">
        <f t="shared" ref="E15:E18" si="3">IF(ISNUMBER(D15/B15),D15/B15," - ")</f>
        <v>144.66666666666666</v>
      </c>
      <c r="F15" s="403">
        <f>IF(ISNUMBER(Datos!N15),Datos!N15," - ")</f>
        <v>2756</v>
      </c>
      <c r="G15" s="404">
        <f t="shared" ref="G15:G18" si="4">IF(ISNUMBER(F15/B15),F15/B15," - ")</f>
        <v>918.66666666666663</v>
      </c>
      <c r="H15" s="403">
        <f>IF(ISNUMBER(Datos!O15),Datos!O15," - ")</f>
        <v>112</v>
      </c>
      <c r="I15" s="404">
        <f t="shared" ref="I15:I17" si="5">IF(ISNUMBER(H15/B15),H15/B15," - ")</f>
        <v>37.333333333333336</v>
      </c>
    </row>
    <row r="16" spans="1:9">
      <c r="A16" s="402" t="str">
        <f>Datos!A16</f>
        <v xml:space="preserve">Jdos. 1ª Instª. e Instr.                        </v>
      </c>
      <c r="B16" s="427">
        <f>Datos!AO16</f>
        <v>0</v>
      </c>
      <c r="C16" s="428">
        <f>Datos!AQ16</f>
        <v>0</v>
      </c>
      <c r="D16" s="403">
        <f>IF(ISNUMBER(Datos!M16),Datos!M16," - ")</f>
        <v>163</v>
      </c>
      <c r="E16" s="404" t="str">
        <f t="shared" si="3"/>
        <v xml:space="preserve"> - </v>
      </c>
      <c r="F16" s="403">
        <f>IF(ISNUMBER(Datos!N16),Datos!N16," - ")</f>
        <v>349</v>
      </c>
      <c r="G16" s="404" t="str">
        <f t="shared" si="4"/>
        <v xml:space="preserve"> - </v>
      </c>
      <c r="H16" s="403">
        <f>IF(ISNUMBER(Datos!O16),Datos!O16," - ")</f>
        <v>0</v>
      </c>
      <c r="I16" s="404" t="str">
        <f t="shared" si="5"/>
        <v xml:space="preserve"> - </v>
      </c>
    </row>
    <row r="17" spans="1:9" ht="13.5" thickBot="1">
      <c r="A17" s="402" t="str">
        <f>Datos!A17</f>
        <v>Jdos. Violencia contra la mujer</v>
      </c>
      <c r="B17" s="427">
        <f>Datos!AO17</f>
        <v>1</v>
      </c>
      <c r="C17" s="428">
        <f>Datos!AQ17</f>
        <v>0</v>
      </c>
      <c r="D17" s="403">
        <f>IF(ISNUMBER(Datos!M17),Datos!M17," - ")</f>
        <v>66</v>
      </c>
      <c r="E17" s="404">
        <f>IF(ISNUMBER(D17/B17),D17/B17," - ")</f>
        <v>66</v>
      </c>
      <c r="F17" s="403">
        <f>IF(ISNUMBER(Datos!N17),Datos!N17," - ")</f>
        <v>264</v>
      </c>
      <c r="G17" s="404">
        <f>IF(ISNUMBER(F17/B17),F17/B17," - ")</f>
        <v>264</v>
      </c>
      <c r="H17" s="403">
        <f>IF(ISNUMBER(Datos!O17),Datos!O17," - ")</f>
        <v>0</v>
      </c>
      <c r="I17" s="404">
        <f t="shared" si="5"/>
        <v>0</v>
      </c>
    </row>
    <row r="18" spans="1:9" ht="14.25" thickTop="1" thickBot="1">
      <c r="A18" s="848" t="str">
        <f>Datos!A18</f>
        <v>TOTAL</v>
      </c>
      <c r="B18" s="849">
        <f>Datos!AO18</f>
        <v>4</v>
      </c>
      <c r="C18" s="851">
        <f>Datos!AR18</f>
        <v>3</v>
      </c>
      <c r="D18" s="849">
        <f>SUBTOTAL(9,D15:D17)</f>
        <v>663</v>
      </c>
      <c r="E18" s="850">
        <f t="shared" si="3"/>
        <v>165.75</v>
      </c>
      <c r="F18" s="849">
        <f>SUBTOTAL(9,F15:F17)</f>
        <v>3369</v>
      </c>
      <c r="G18" s="850">
        <f t="shared" si="4"/>
        <v>842.25</v>
      </c>
      <c r="H18" s="849">
        <f>SUBTOTAL(9,H15:H17)</f>
        <v>112</v>
      </c>
      <c r="I18" s="850">
        <f>IF(ISNUMBER(H18/B18),H18/B18," - ")</f>
        <v>28</v>
      </c>
    </row>
    <row r="19" spans="1:9" ht="14.25" thickTop="1" thickBot="1">
      <c r="A19" s="793" t="str">
        <f>Datos!A19</f>
        <v>TOTAL JURISDICCIONES</v>
      </c>
      <c r="B19" s="794">
        <f>Datos!AP19</f>
        <v>8</v>
      </c>
      <c r="C19" s="794">
        <f>Datos!AR19</f>
        <v>8</v>
      </c>
      <c r="D19" s="794">
        <f>SUBTOTAL(9,D8:D18)</f>
        <v>2419</v>
      </c>
      <c r="E19" s="795">
        <f>IF(ISNUMBER(D19/B19),D19/B19," - ")</f>
        <v>302.375</v>
      </c>
      <c r="F19" s="794">
        <f>SUBTOTAL(9,F8:F18)</f>
        <v>5415</v>
      </c>
      <c r="G19" s="795">
        <f>IF(ISNUMBER(F19/B19),F19/B19," - ")</f>
        <v>676.875</v>
      </c>
      <c r="H19" s="794">
        <f>SUBTOTAL(9,H8:H18)</f>
        <v>2821</v>
      </c>
      <c r="I19" s="795">
        <f>IF(ISNUMBER(H19/B19),H19/B19," - ")</f>
        <v>352.625</v>
      </c>
    </row>
    <row r="22" spans="1:9">
      <c r="A22" s="391" t="str">
        <f>Criterios!A4</f>
        <v>Fecha Informe: 09 may. 2024</v>
      </c>
    </row>
    <row r="27" spans="1:9">
      <c r="A27" s="414"/>
    </row>
  </sheetData>
  <sheetProtection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LEÓN</v>
      </c>
    </row>
    <row r="3" spans="1:4" ht="19.5">
      <c r="A3" s="429" t="s">
        <v>32</v>
      </c>
      <c r="B3" s="391" t="str">
        <f>Criterios!A10 &amp;"  "&amp;Criterios!B10</f>
        <v>Provincias  LEON</v>
      </c>
    </row>
    <row r="4" spans="1:4" ht="13.5" thickBot="1">
      <c r="B4" s="391" t="str">
        <f>Criterios!A11 &amp;"  "&amp;Criterios!B11</f>
        <v>Resumenes por Partidos Judiciales  PONFERRADA</v>
      </c>
    </row>
    <row r="5" spans="1:4" ht="12.75" customHeight="1">
      <c r="A5" s="1208" t="str">
        <f>"Año:  " &amp;Criterios!B5 &amp; "                  Trimestre   " &amp;Criterios!D5 &amp; " al " &amp;Criterios!D6</f>
        <v>Año:  2023                  Trimestre   1 al 4</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1260</v>
      </c>
      <c r="C9" s="434">
        <f>IF(ISNUMBER(Datos!Q9),Datos!Q9," - ")</f>
        <v>436</v>
      </c>
      <c r="D9" s="408">
        <f>IF(ISNUMBER(Datos!R9),Datos!R9," - ")</f>
        <v>4718</v>
      </c>
    </row>
    <row r="10" spans="1:4">
      <c r="A10" s="402" t="str">
        <f>Datos!A10</f>
        <v>Jdos. Violencia contra la mujer</v>
      </c>
      <c r="B10" s="433">
        <f>IF(ISNUMBER(Datos!P10),Datos!P10," - ")</f>
        <v>1</v>
      </c>
      <c r="C10" s="434">
        <f>IF(ISNUMBER(Datos!Q10),Datos!Q10," - ")</f>
        <v>1</v>
      </c>
      <c r="D10" s="408">
        <f>IF(ISNUMBER(Datos!R10),Datos!R10," - ")</f>
        <v>44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435</v>
      </c>
      <c r="D12" s="408">
        <f>IF(ISNUMBER(Datos!R12),Datos!R12," - ")</f>
        <v>1915</v>
      </c>
    </row>
    <row r="13" spans="1:4" ht="14.25" thickTop="1" thickBot="1">
      <c r="A13" s="848" t="str">
        <f>Datos!A13</f>
        <v>TOTAL</v>
      </c>
      <c r="B13" s="849">
        <f>SUBTOTAL(9,B9:B12)</f>
        <v>1261</v>
      </c>
      <c r="C13" s="853">
        <f>SUBTOTAL(9,C9:C12)</f>
        <v>872</v>
      </c>
      <c r="D13" s="851">
        <f>SUBTOTAL(9,D9:D12)</f>
        <v>6677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158</v>
      </c>
      <c r="C15" s="434">
        <f>IF(ISNUMBER(Datos!Q15),Datos!Q15," - ")</f>
        <v>124</v>
      </c>
      <c r="D15" s="408">
        <f>IF(ISNUMBER(Datos!R15),Datos!R15," - ")</f>
        <v>221</v>
      </c>
    </row>
    <row r="16" spans="1:4">
      <c r="A16" s="402" t="str">
        <f>Datos!A16</f>
        <v xml:space="preserve">Jdos. 1ª Instª. e Instr.                        </v>
      </c>
      <c r="B16" s="433">
        <f>IF(ISNUMBER(Datos!P16),Datos!P16," - ")</f>
        <v>11</v>
      </c>
      <c r="C16" s="434">
        <f>IF(ISNUMBER(Datos!Q16),Datos!Q16," - ")</f>
        <v>62</v>
      </c>
      <c r="D16" s="408">
        <f>IF(ISNUMBER(Datos!R16),Datos!R16," - ")</f>
        <v>0</v>
      </c>
    </row>
    <row r="17" spans="1:4" ht="13.5" thickBot="1">
      <c r="A17" s="402" t="str">
        <f>Datos!A17</f>
        <v>Jdos. Violencia contra la mujer</v>
      </c>
      <c r="B17" s="433">
        <f>IF(ISNUMBER(Datos!P17),Datos!P17," - ")</f>
        <v>7</v>
      </c>
      <c r="C17" s="434">
        <f>IF(ISNUMBER(Datos!Q17),Datos!Q17," - ")</f>
        <v>8</v>
      </c>
      <c r="D17" s="408">
        <f>IF(ISNUMBER(Datos!R17),Datos!R17," - ")</f>
        <v>2</v>
      </c>
    </row>
    <row r="18" spans="1:4" ht="14.25" thickTop="1" thickBot="1">
      <c r="A18" s="848" t="str">
        <f>Datos!A18</f>
        <v>TOTAL</v>
      </c>
      <c r="B18" s="849">
        <f>SUBTOTAL(9,B15:B17)</f>
        <v>176</v>
      </c>
      <c r="C18" s="853">
        <f>SUBTOTAL(9,C15:C17)</f>
        <v>194</v>
      </c>
      <c r="D18" s="851">
        <f>SUBTOTAL(9,D15:D17)</f>
        <v>223</v>
      </c>
    </row>
    <row r="19" spans="1:4" ht="16.5" customHeight="1" thickTop="1" thickBot="1">
      <c r="A19" s="793" t="str">
        <f>Datos!A19</f>
        <v>TOTAL JURISDICCIONES</v>
      </c>
      <c r="B19" s="798">
        <f>SUBTOTAL(9,B8:B18)</f>
        <v>1437</v>
      </c>
      <c r="C19" s="799">
        <f>SUBTOTAL(9,C8:C18)</f>
        <v>1066</v>
      </c>
      <c r="D19" s="800">
        <f>SUBTOTAL(9,D8:D18)</f>
        <v>6900</v>
      </c>
    </row>
    <row r="20" spans="1:4" ht="7.5" customHeight="1"/>
    <row r="21" spans="1:4" ht="6" customHeight="1"/>
    <row r="22" spans="1:4">
      <c r="A22" s="391" t="str">
        <f>Criterios!A4</f>
        <v>Fecha Informe: 09 may. 2024</v>
      </c>
    </row>
    <row r="27" spans="1:4">
      <c r="A27" s="414"/>
    </row>
  </sheetData>
  <sheetProtection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LEÓN</v>
      </c>
    </row>
    <row r="3" spans="1:11" ht="18.75" customHeight="1">
      <c r="A3" s="429" t="s">
        <v>118</v>
      </c>
      <c r="B3" s="391" t="str">
        <f>Criterios!A10 &amp;"  "&amp;Criterios!B10</f>
        <v>Provincias  LEON</v>
      </c>
    </row>
    <row r="4" spans="1:11" ht="10.5" customHeight="1" thickBot="1">
      <c r="B4" s="391" t="str">
        <f>Criterios!A11 &amp;"  "&amp;Criterios!B11</f>
        <v>Resumenes por Partidos Judiciales  PONFERRADA</v>
      </c>
    </row>
    <row r="5" spans="1:11" ht="12.75" customHeight="1">
      <c r="A5" s="1208" t="str">
        <f>"Año:  " &amp;Criterios!B5 &amp; "    Trimestre   " &amp;Criterios!D5 &amp; " al " &amp;Criterios!D6</f>
        <v>Año:  2023    Trimestre   1 al 4</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-0.22222222222222221</v>
      </c>
      <c r="C10" s="456">
        <f>IF(ISNUMBER((Datos!J10-Datos!T10)/Datos!T10),(Datos!J10-Datos!T10)/Datos!T10," - ")</f>
        <v>-1.7241379310344827E-2</v>
      </c>
      <c r="D10" s="456">
        <f>IF(ISNUMBER((Datos!K10-Datos!U10)/Datos!U10),(Datos!K10-Datos!U10)/Datos!U10," - ")</f>
        <v>-7.575757575757576E-2</v>
      </c>
      <c r="E10" s="456">
        <f>IF(ISNUMBER((Datos!L10-Datos!V10)/Datos!V10),(Datos!L10-Datos!V10)/Datos!V10," - ")</f>
        <v>-0.14285714285714285</v>
      </c>
      <c r="F10" s="456">
        <f>IF(ISNUMBER((Datos!M10-Datos!W10)/Datos!W10),(Datos!M10-Datos!W10)/Datos!W10," - ")</f>
        <v>-0.43181818181818182</v>
      </c>
      <c r="G10" s="457">
        <f>IF(ISNUMBER((Datos!N10-Datos!X10)/Datos!X10),(Datos!N10-Datos!X10)/Datos!X10," - ")</f>
        <v>-0.38461538461538464</v>
      </c>
      <c r="H10" s="455">
        <f>IF(ISNUMBER(((NºAsuntos!G10/NºAsuntos!E10)-Datos!BD10)/Datos!BD10),((NºAsuntos!G10/NºAsuntos!E10)-Datos!BD10)/Datos!BD10," - ")</f>
        <v>-5.9542796384901696E-2</v>
      </c>
      <c r="I10" s="456">
        <f>IF(ISNUMBER(((NºAsuntos!I10/NºAsuntos!G10)-Datos!BE10)/Datos!BE10),((NºAsuntos!I10/NºAsuntos!G10)-Datos!BE10)/Datos!BE10," - ")</f>
        <v>-7.2599531615925098E-2</v>
      </c>
      <c r="J10" s="461">
        <f>IF(ISNUMBER((('Resol  Asuntos'!D10/NºAsuntos!G10)-Datos!BF10)/Datos!BF10),(('Resol  Asuntos'!D10/NºAsuntos!G10)-Datos!BF10)/Datos!BF10," - ")</f>
        <v>-0.38524590163934419</v>
      </c>
      <c r="K10" s="462">
        <f>IF(ISNUMBER((((NºAsuntos!C10+NºAsuntos!E10)/NºAsuntos!G10)-Datos!BG10)/Datos!BG10),(((NºAsuntos!C10+NºAsuntos!E10)/NºAsuntos!G10)-Datos!BG10)/Datos!BG10," - ")</f>
        <v>-2.1625392396233047E-2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-0.59271217712177127</v>
      </c>
      <c r="C12" s="456">
        <f>IF(ISNUMBER(
   IF(J_V="SI",(Datos!J12-Datos!T12)/Datos!T12,(Datos!J12+Datos!Z12-(Datos!T12+Datos!AH12))/(Datos!T12+Datos!AH12))
     ),IF(J_V="SI",(Datos!J12-Datos!T12)/Datos!T12,(Datos!J12+Datos!Z12-(Datos!T12+Datos!AH12))/(Datos!T12+Datos!AH12))," - ")</f>
        <v>-0.96871197636015993</v>
      </c>
      <c r="D12" s="456">
        <f>IF(ISNUMBER(
   IF(J_V="SI",(Datos!K12-Datos!U12)/Datos!U12,(Datos!K12+Datos!AA12-(Datos!U12+Datos!AI12))/(Datos!U12+Datos!AI12))
     ),IF(J_V="SI",(Datos!K12-Datos!U12)/Datos!U12,(Datos!K12+Datos!AA12-(Datos!U12+Datos!AI12))/(Datos!U12+Datos!AI12))," - ")</f>
        <v>-0.83800829875518668</v>
      </c>
      <c r="E12" s="456">
        <f>IF(ISNUMBER(
   IF(J_V="SI",(Datos!L12-Datos!V12)/Datos!V12,(Datos!L12+Datos!AB12-(Datos!V12+Datos!AJ12))/(Datos!V12+Datos!AJ12))
     ),IF(J_V="SI",(Datos!L12-Datos!V12)/Datos!V12,(Datos!L12+Datos!AB12-(Datos!V12+Datos!AJ12))/(Datos!V12+Datos!AJ12))," - ")</f>
        <v>-0.96235395932496759</v>
      </c>
      <c r="F12" s="456">
        <f>IF(ISNUMBER((Datos!M12-Datos!W12)/Datos!W12),(Datos!M12-Datos!W12)/Datos!W12," - ")</f>
        <v>-0.81779661016949157</v>
      </c>
      <c r="G12" s="457">
        <f>IF(ISNUMBER((Datos!N12-Datos!X12)/Datos!X12),(Datos!N12-Datos!X12)/Datos!X12," - ")</f>
        <v>-0.8286893704850361</v>
      </c>
      <c r="H12" s="455">
        <f>IF(ISNUMBER(((NºAsuntos!G12/NºAsuntos!E12)-Datos!BD12)/Datos!BD12),((NºAsuntos!G12/NºAsuntos!E12)-Datos!BD12)/Datos!BD12," - ")</f>
        <v>4.1774347625633927</v>
      </c>
      <c r="I12" s="456">
        <f>IF(ISNUMBER(((NºAsuntos!I12/NºAsuntos!G12)-Datos!BE12)/Datos!BE12),((NºAsuntos!I12/NºAsuntos!G12)-Datos!BE12)/Datos!BE12," - ")</f>
        <v>-0.76760512800505065</v>
      </c>
      <c r="J12" s="461">
        <f>IF(ISNUMBER((('Resol  Asuntos'!D12/NºAsuntos!G12)-Datos!BF12)/Datos!BF12),(('Resol  Asuntos'!D12/NºAsuntos!G12)-Datos!BF12)/Datos!BF12," - ")</f>
        <v>-0.17818669745724006</v>
      </c>
      <c r="K12" s="462">
        <f>IF(ISNUMBER((((NºAsuntos!C12+NºAsuntos!E12)/NºAsuntos!G12)-Datos!BG12)/Datos!BG12),(((NºAsuntos!C12+NºAsuntos!E12)/NºAsuntos!G12)-Datos!BG12)/Datos!BG12," - ")</f>
        <v>-0.17156109718718249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6.1252268602540835E-2</v>
      </c>
      <c r="C13" s="855">
        <f>IF(ISNUMBER(
   IF(J_V="SI",(Datos!J13-Datos!T13)/Datos!T13,(Datos!J13+Datos!Z13-(Datos!T13+Datos!AH13))/(Datos!T13+Datos!AH13))
     ),IF(J_V="SI",(Datos!J13-Datos!T13)/Datos!T13,(Datos!J13+Datos!Z13-(Datos!T13+Datos!AH13))/(Datos!T13+Datos!AH13))," - ")</f>
        <v>0.34383066597831696</v>
      </c>
      <c r="D13" s="855">
        <f>IF(ISNUMBER(
   IF(J_V="SI",(Datos!K13-Datos!U13)/Datos!U13,(Datos!K13+Datos!AA13-(Datos!U13+Datos!AI13))/(Datos!U13+Datos!AI13))
     ),IF(J_V="SI",(Datos!K13-Datos!U13)/Datos!U13,(Datos!K13+Datos!AA13-(Datos!U13+Datos!AI13))/(Datos!U13+Datos!AI13))," - ")</f>
        <v>7.3058611065506485E-2</v>
      </c>
      <c r="E13" s="855">
        <f>IF(ISNUMBER(
   IF(J_V="SI",(Datos!L13-Datos!V13)/Datos!V13,(Datos!L13+Datos!AB13-(Datos!V13+Datos!AJ13))/(Datos!V13+Datos!AJ13))
     ),IF(J_V="SI",(Datos!L13-Datos!V13)/Datos!V13,(Datos!L13+Datos!AB13-(Datos!V13+Datos!AJ13))/(Datos!V13+Datos!AJ13))," - ")</f>
        <v>0.52714835399743476</v>
      </c>
      <c r="F13" s="856">
        <f>IF(ISNUMBER((Datos!M13-Datos!W13)/Datos!W13),(Datos!M13-Datos!W13)/Datos!W13," - ")</f>
        <v>0.20273972602739726</v>
      </c>
      <c r="G13" s="857">
        <f>IF(ISNUMBER((Datos!N13-Datos!X13)/Datos!X13),(Datos!N13-Datos!X13)/Datos!X13," - ")</f>
        <v>4.8692977960020499E-2</v>
      </c>
      <c r="H13" s="857">
        <f>IF(ISNUMBER(((NºAsuntos!G13/NºAsuntos!E13)-Datos!BD13)/Datos!BD13),((NºAsuntos!G13/NºAsuntos!E13)-Datos!BD13)/Datos!BD13," - ")</f>
        <v>-0.20149268934541459</v>
      </c>
      <c r="I13" s="857">
        <f>IF(ISNUMBER(((NºAsuntos!I13/NºAsuntos!G13)-Datos!BE13)/Datos!BE13),((NºAsuntos!I13/NºAsuntos!G13)-Datos!BE13)/Datos!BE13," - ")</f>
        <v>0.42317329011603055</v>
      </c>
      <c r="J13" s="857">
        <f>IF(ISNUMBER((('Resol  Asuntos'!D13/NºAsuntos!G13)-Datos!BF13)/Datos!BF13),(('Resol  Asuntos'!D13/NºAsuntos!G13)-Datos!BF13)/Datos!BF13," - ")</f>
        <v>-0.17434727727021787</v>
      </c>
      <c r="K13" s="857">
        <f>IF(ISNUMBER((((NºAsuntos!C13+NºAsuntos!E13)/NºAsuntos!G13)-Datos!BG13)/Datos!BG13),(((NºAsuntos!C13+NºAsuntos!E13)/NºAsuntos!G13)-Datos!BG13)/Datos!BG13," - ")</f>
        <v>0.17992251370785045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-0.27847049044056527</v>
      </c>
      <c r="C16" s="456">
        <f>IF(ISNUMBER(
   IF(D_I="SI",(Datos!J16-Datos!T16)/Datos!T16,(Datos!J16+Datos!AD16-(Datos!T16+Datos!AL16))/(Datos!T16+Datos!AL16))
     ),IF(D_I="SI",(Datos!J16-Datos!T16)/Datos!T16,(Datos!J16+Datos!AD16-(Datos!T16+Datos!AL16))/(Datos!T16+Datos!AL16))," - ")</f>
        <v>-0.94895287958115182</v>
      </c>
      <c r="D16" s="456">
        <f>IF(ISNUMBER(
   IF(D_I="SI",(Datos!K16-Datos!U16)/Datos!U16,(Datos!K16+Datos!AE16-(Datos!U16+Datos!AM16))/(Datos!U16+Datos!AM16))
     ),IF(D_I="SI",(Datos!K16-Datos!U16)/Datos!U16,(Datos!K16+Datos!AE16-(Datos!U16+Datos!AM16))/(Datos!U16+Datos!AM16))," - ")</f>
        <v>-0.84078315478389365</v>
      </c>
      <c r="E16" s="456">
        <f>IF(ISNUMBER(
   IF(D_I="SI",(Datos!L16-Datos!V16)/Datos!V16,(Datos!L16+Datos!AF16-(Datos!V16+Datos!AN16))/(Datos!V16+Datos!AN16))
     ),IF(D_I="SI",(Datos!L16-Datos!V16)/Datos!V16,(Datos!L16+Datos!AF16-(Datos!V16+Datos!AN16))/(Datos!V16+Datos!AN16))," - ")</f>
        <v>-0.78656716417910444</v>
      </c>
      <c r="F16" s="456">
        <f>IF(ISNUMBER((Datos!M16-Datos!W16)/Datos!W16),(Datos!M16-Datos!W16)/Datos!W16," - ")</f>
        <v>-0.81767337807606266</v>
      </c>
      <c r="G16" s="457">
        <f>IF(ISNUMBER((Datos!N16-Datos!X16)/Datos!X16),(Datos!N16-Datos!X16)/Datos!X16," - ")</f>
        <v>-0.8909034073147859</v>
      </c>
      <c r="H16" s="455">
        <f>IF(ISNUMBER(((NºAsuntos!G16/NºAsuntos!E16)-Datos!BD16)/Datos!BD16),((NºAsuntos!G16/NºAsuntos!E16)-Datos!BD16)/Datos!BD16," - ")</f>
        <v>2.1190171729514176</v>
      </c>
      <c r="I16" s="456">
        <f>IF(ISNUMBER(((NºAsuntos!I16/NºAsuntos!G16)-Datos!BE16)/Datos!BE16),((NºAsuntos!I16/NºAsuntos!G16)-Datos!BE16)/Datos!BE16," - ")</f>
        <v>0.34051667416975429</v>
      </c>
      <c r="J16" s="461">
        <f>IF(ISNUMBER((('Resol  Asuntos'!D16/NºAsuntos!G16)-Datos!BF16)/Datos!BF16),(('Resol  Asuntos'!D16/NºAsuntos!G16)-Datos!BF16)/Datos!BF16," - ")</f>
        <v>0.14514655579605215</v>
      </c>
      <c r="K16" s="462">
        <f>IF(ISNUMBER((((NºAsuntos!C16+NºAsuntos!E16)/NºAsuntos!G16)-Datos!BG16)/Datos!BG16),(((NºAsuntos!C16+NºAsuntos!E16)/NºAsuntos!G16)-Datos!BG16)/Datos!BG16," - ")</f>
        <v>9.392873548644394E-2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0.33750000000000002</v>
      </c>
      <c r="C17" s="456">
        <f>IF(ISNUMBER(
   IF(D_I="SI",(Datos!J17-Datos!T17)/Datos!T17,(Datos!J17+Datos!AD17-(Datos!T17+Datos!AL17))/(Datos!T17+Datos!AL17))
     ),IF(D_I="SI",(Datos!J17-Datos!T17)/Datos!T17,(Datos!J17+Datos!AD17-(Datos!T17+Datos!AL17))/(Datos!T17+Datos!AL17))," - ")</f>
        <v>0.15538847117794485</v>
      </c>
      <c r="D17" s="456">
        <f>IF(ISNUMBER(
   IF(D_I="SI",(Datos!K17-Datos!U17)/Datos!U17,(Datos!K17+Datos!AE17-(Datos!U17+Datos!AM17))/(Datos!U17+Datos!AM17))
     ),IF(D_I="SI",(Datos!K17-Datos!U17)/Datos!U17,(Datos!K17+Datos!AE17-(Datos!U17+Datos!AM17))/(Datos!U17+Datos!AM17))," - ")</f>
        <v>-0.11405835543766578</v>
      </c>
      <c r="E17" s="456">
        <f>IF(ISNUMBER(
   IF(D_I="SI",(Datos!L17-Datos!V17)/Datos!V17,(Datos!L17+Datos!AF17-(Datos!V17+Datos!AN17))/(Datos!V17+Datos!AN17))
     ),IF(D_I="SI",(Datos!L17-Datos!V17)/Datos!V17,(Datos!L17+Datos!AF17-(Datos!V17+Datos!AN17))/(Datos!V17+Datos!AN17))," - ")</f>
        <v>0.99065420560747663</v>
      </c>
      <c r="F17" s="456">
        <f>IF(ISNUMBER((Datos!M17-Datos!W17)/Datos!W17),(Datos!M17-Datos!W17)/Datos!W17," - ")</f>
        <v>0.32</v>
      </c>
      <c r="G17" s="457">
        <f>IF(ISNUMBER((Datos!N17-Datos!X17)/Datos!X17),(Datos!N17-Datos!X17)/Datos!X17," - ")</f>
        <v>0.23943661971830985</v>
      </c>
      <c r="H17" s="455">
        <f>IF(ISNUMBER(((NºAsuntos!G17/NºAsuntos!E17)-Datos!BD17)/Datos!BD17),((NºAsuntos!G17/NºAsuntos!E17)-Datos!BD17)/Datos!BD17," - ")</f>
        <v>-0.23320885861090812</v>
      </c>
      <c r="I17" s="456">
        <f>IF(ISNUMBER(((NºAsuntos!I17/NºAsuntos!G17)-Datos!BE17)/Datos!BE17),((NºAsuntos!I17/NºAsuntos!G17)-Datos!BE17)/Datos!BE17," - ")</f>
        <v>1.24693603447311</v>
      </c>
      <c r="J17" s="461">
        <f>IF(ISNUMBER((('Resol  Asuntos'!D17/NºAsuntos!G17)-Datos!BF17)/Datos!BF17),(('Resol  Asuntos'!D17/NºAsuntos!G17)-Datos!BF17)/Datos!BF17," - ")</f>
        <v>0.48994011976047891</v>
      </c>
      <c r="K17" s="462">
        <f>IF(ISNUMBER((((NºAsuntos!C17+NºAsuntos!E17)/NºAsuntos!G17)-Datos!BG17)/Datos!BG17),(((NºAsuntos!C17+NºAsuntos!E17)/NºAsuntos!G17)-Datos!BG17)/Datos!BG17," - ")</f>
        <v>0.33846711587263889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0.12782540919719407</v>
      </c>
      <c r="C18" s="855">
        <f>IF(ISNUMBER(
   IF(Criterios!B14="SI",(Datos!J18-Datos!T18)/Datos!T18,(Datos!J18+Datos!AD18-(Datos!T18+Datos!AL18))/(Datos!T18+Datos!AL18))
     ),IF(Criterios!B14="SI",(Datos!J18-Datos!T18)/Datos!T18,(Datos!J18+Datos!AD18-(Datos!T18+Datos!AL18))/(Datos!T18+Datos!AL18))," - ")</f>
        <v>5.7595267095876111E-2</v>
      </c>
      <c r="D18" s="855">
        <f>IF(ISNUMBER(
   IF(Criterios!B14="SI",(Datos!K18-Datos!U18)/Datos!U18,(Datos!K18+Datos!AE18-(Datos!U18+Datos!AM18))/(Datos!U18+Datos!AM18))
     ),IF(Criterios!B14="SI",(Datos!K18-Datos!U18)/Datos!U18,(Datos!K18+Datos!AE18-(Datos!U18+Datos!AM18))/(Datos!U18+Datos!AM18))," - ")</f>
        <v>-0.12484890347090312</v>
      </c>
      <c r="E18" s="855">
        <f>IF(ISNUMBER(
   IF(Criterios!B14="SI",(Datos!L18-Datos!V18)/Datos!V18,(Datos!L18+Datos!AF18-(Datos!V18+Datos!AN18))/(Datos!V18+Datos!AN18))
     ),IF(Criterios!B14="SI",(Datos!L18-Datos!V18)/Datos!V18,(Datos!L18+Datos!AF18-(Datos!V18+Datos!AN18))/(Datos!V18+Datos!AN18))," - ")</f>
        <v>0.62404975812024877</v>
      </c>
      <c r="F18" s="856">
        <f>IF(ISNUMBER((Datos!M18-Datos!W18)/Datos!W18),(Datos!M18-Datos!W18)/Datos!W18," - ")</f>
        <v>-0.29766949152542371</v>
      </c>
      <c r="G18" s="857">
        <f>IF(ISNUMBER((Datos!N18-Datos!X18)/Datos!X18),(Datos!N18-Datos!X18)/Datos!X18," - ")</f>
        <v>-1.2602579132473623E-2</v>
      </c>
      <c r="H18" s="857">
        <f>IF(ISNUMBER(((NºAsuntos!G18/NºAsuntos!E18)-Datos!BD18)/Datos!BD18),((NºAsuntos!G18/NºAsuntos!E18)-Datos!BD18)/Datos!BD18," - ")</f>
        <v>-0.17250849757276729</v>
      </c>
      <c r="I18" s="857">
        <f>IF(ISNUMBER(((NºAsuntos!I18/NºAsuntos!G18)-Datos!BE18)/Datos!BE18),((NºAsuntos!I18/NºAsuntos!G18)-Datos!BE18)/Datos!BE18," - ")</f>
        <v>0.8557364146160934</v>
      </c>
      <c r="J18" s="857">
        <f>IF(ISNUMBER((('Resol  Asuntos'!D18/NºAsuntos!G18)-Datos!BF18)/Datos!BF18),(('Resol  Asuntos'!D18/NºAsuntos!G18)-Datos!BF18)/Datos!BF18," - ")</f>
        <v>-0.19747514313806797</v>
      </c>
      <c r="K18" s="857">
        <f>IF(ISNUMBER((((NºAsuntos!C18+NºAsuntos!E18)/NºAsuntos!G18)-Datos!BG18)/Datos!BG18),(((NºAsuntos!C18+NºAsuntos!E18)/NºAsuntos!G18)-Datos!BG18)/Datos!BG18," - ")</f>
        <v>0.22311738170272635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8.5747060510467446E-2</v>
      </c>
      <c r="C19" s="802">
        <f>IF(ISNUMBER(
   IF(J_V="SI",(Datos!J19-Datos!T19)/Datos!T19,(Datos!J19+Datos!Z19-(Datos!T19+Datos!AH19))/(Datos!T19+Datos!AH19))
     ),IF(J_V="SI",(Datos!J19-Datos!T19)/Datos!T19,(Datos!J19+Datos!Z19-(Datos!T19+Datos!AH19))/(Datos!T19+Datos!AH19))," - ")</f>
        <v>0.2015054507700294</v>
      </c>
      <c r="D19" s="802">
        <f>IF(ISNUMBER(
   IF(J_V="SI",(Datos!K19-Datos!U19)/Datos!U19,(Datos!K19+Datos!AA19-(Datos!U19+Datos!AI19))/(Datos!U19+Datos!AI19))
     ),IF(J_V="SI",(Datos!K19-Datos!U19)/Datos!U19,(Datos!K19+Datos!AA19-(Datos!U19+Datos!AI19))/(Datos!U19+Datos!AI19))," - ")</f>
        <v>-2.3396734556471975E-2</v>
      </c>
      <c r="E19" s="802">
        <f>IF(ISNUMBER(
   IF(J_V="SI",(Datos!L19-Datos!V19)/Datos!V19,(Datos!L19+Datos!AB19-(Datos!V19+Datos!AJ19))/(Datos!V19+Datos!AJ19))
     ),IF(J_V="SI",(Datos!L19-Datos!V19)/Datos!V19,(Datos!L19+Datos!AB19-(Datos!V19+Datos!AJ19))/(Datos!V19+Datos!AJ19))," - ")</f>
        <v>0.56418383518225035</v>
      </c>
      <c r="F19" s="803">
        <f>IF(ISNUMBER((Datos!M19-Datos!W19)/Datos!W19),(Datos!M19-Datos!W19)/Datos!W19," - ")</f>
        <v>6.239600665557404E-3</v>
      </c>
      <c r="G19" s="804">
        <f>IF(ISNUMBER((Datos!N19-Datos!X19)/Datos!X19),(Datos!N19-Datos!X19)/Datos!X19," - ")</f>
        <v>9.6960656349058365E-3</v>
      </c>
      <c r="H19" s="805">
        <f>IF(ISNUMBER((Tasas!B19-Datos!BD19)/Datos!BD19),(Tasas!B19-Datos!BD19)/Datos!BD19," - ")</f>
        <v>-0.18718365795374836</v>
      </c>
      <c r="I19" s="806">
        <f>IF(ISNUMBER((Tasas!C19-Datos!BE19)/Datos!BE19),(Tasas!C19-Datos!BE19)/Datos!BE19," - ")</f>
        <v>0.60165738793825396</v>
      </c>
      <c r="J19" s="807">
        <f>IF(ISNUMBER((Tasas!D19-Datos!BF19)/Datos!BF19),(Tasas!D19-Datos!BF19)/Datos!BF19," - ")</f>
        <v>-0.15346801006464639</v>
      </c>
      <c r="K19" s="807">
        <f>IF(ISNUMBER((Tasas!E19-Datos!BG19)/Datos!BG19),(Tasas!E19-Datos!BG19)/Datos!BG19," - ")</f>
        <v>0.20281798520330077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09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LEÓN</v>
      </c>
    </row>
    <row r="3" spans="1:7" ht="19.5">
      <c r="A3" s="436" t="s">
        <v>12</v>
      </c>
      <c r="B3" s="391" t="str">
        <f>Criterios!A10 &amp;"  "&amp;Criterios!B10</f>
        <v>Provincias  LEON</v>
      </c>
    </row>
    <row r="4" spans="1:7" ht="11.25" customHeight="1" thickBot="1">
      <c r="B4" s="391" t="str">
        <f>Criterios!A11 &amp;"  "&amp;Criterios!B11</f>
        <v>Resumenes por Partidos Judiciales  PONFERRADA</v>
      </c>
    </row>
    <row r="5" spans="1:7" ht="12.75" customHeight="1">
      <c r="A5" s="1208" t="str">
        <f>"Año:  " &amp;Criterios!B5 &amp; "    Trimestre   " &amp;Criterios!D5 &amp; " al " &amp;Criterios!D6</f>
        <v>Año:  2023    Trimestre   1 al 4</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0.72622820919175912</v>
      </c>
      <c r="C9" s="443">
        <f>IF(ISNUMBER(NºAsuntos!I9/NºAsuntos!G9),NºAsuntos!I9/NºAsuntos!G9," - ")</f>
        <v>0.62938716130205496</v>
      </c>
      <c r="D9" s="444">
        <f>IF(ISNUMBER('Resol  Asuntos'!D9/NºAsuntos!G9),'Resol  Asuntos'!D9/NºAsuntos!G9," - ")</f>
        <v>0.26786688488816146</v>
      </c>
      <c r="E9" s="445">
        <f>IF(ISNUMBER((NºAsuntos!C9+NºAsuntos!E9)/NºAsuntos!G9),(NºAsuntos!C9+NºAsuntos!E9)/NºAsuntos!G9," - ")</f>
        <v>1.6366612111292962</v>
      </c>
      <c r="G9" s="463"/>
    </row>
    <row r="10" spans="1:7">
      <c r="A10" s="402" t="str">
        <f>Datos!A10</f>
        <v>Jdos. Violencia contra la mujer</v>
      </c>
      <c r="B10" s="442">
        <f>IF(ISNUMBER(NºAsuntos!G10/NºAsuntos!E10),NºAsuntos!G10/NºAsuntos!E10," - ")</f>
        <v>1.0701754385964912</v>
      </c>
      <c r="C10" s="443">
        <f>IF(ISNUMBER(NºAsuntos!I10/NºAsuntos!G10),NºAsuntos!I10/NºAsuntos!G10," - ")</f>
        <v>0.39344262295081966</v>
      </c>
      <c r="D10" s="444">
        <f>IF(ISNUMBER('Resol  Asuntos'!D10/NºAsuntos!G10),'Resol  Asuntos'!D10/NºAsuntos!G10," - ")</f>
        <v>0.4098360655737705</v>
      </c>
      <c r="E10" s="445">
        <f>IF(ISNUMBER((NºAsuntos!C10+NºAsuntos!E10)/NºAsuntos!G10),(NºAsuntos!C10+NºAsuntos!E10)/NºAsuntos!G10," - ")</f>
        <v>1.3934426229508197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5.4222222222222225</v>
      </c>
      <c r="C12" s="443">
        <f>IF(ISNUMBER(NºAsuntos!I12/NºAsuntos!G12),NºAsuntos!I12/NºAsuntos!G12," - ")</f>
        <v>8.9139344262295084E-2</v>
      </c>
      <c r="D12" s="444">
        <f>IF(ISNUMBER('Resol  Asuntos'!D12/NºAsuntos!G12),'Resol  Asuntos'!D12/NºAsuntos!G12," - ")</f>
        <v>0.26434426229508196</v>
      </c>
      <c r="E12" s="445">
        <f>IF(ISNUMBER((NºAsuntos!C12+NºAsuntos!E12)/NºAsuntos!G12),(NºAsuntos!C12+NºAsuntos!E12)/NºAsuntos!G12," - ")</f>
        <v>1.089139344262295</v>
      </c>
      <c r="G12" s="463"/>
    </row>
    <row r="13" spans="1:7" ht="14.25" thickTop="1" thickBot="1">
      <c r="A13" s="848" t="str">
        <f>Datos!A13</f>
        <v>TOTAL</v>
      </c>
      <c r="B13" s="858">
        <f>IF(ISNUMBER(NºAsuntos!G13/NºAsuntos!E13),NºAsuntos!G13/NºAsuntos!E13," - ")</f>
        <v>0.83698296836982966</v>
      </c>
      <c r="C13" s="859">
        <f>IF(ISNUMBER(NºAsuntos!I13/NºAsuntos!G13),NºAsuntos!I13/NºAsuntos!G13," - ")</f>
        <v>0.54651162790697672</v>
      </c>
      <c r="D13" s="860">
        <f>IF(ISNUMBER('Resol  Asuntos'!D13/NºAsuntos!G13),'Resol  Asuntos'!D13/NºAsuntos!G13," - ")</f>
        <v>0.2686658506731946</v>
      </c>
      <c r="E13" s="861">
        <f>IF(ISNUMBER((NºAsuntos!C13+NºAsuntos!E13)/NºAsuntos!G13),(NºAsuntos!C13+NºAsuntos!E13)/NºAsuntos!G13," - ")</f>
        <v>1.5526315789473684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0.72455089820359286</v>
      </c>
      <c r="C15" s="443">
        <f>IF(ISNUMBER(NºAsuntos!I15/NºAsuntos!G15),NºAsuntos!I15/NºAsuntos!G15," - ")</f>
        <v>0.47804752066115702</v>
      </c>
      <c r="D15" s="444">
        <f>IF(ISNUMBER('Resol  Asuntos'!D15/NºAsuntos!G15),'Resol  Asuntos'!D15/NºAsuntos!G15," - ")</f>
        <v>0.11208677685950413</v>
      </c>
      <c r="E15" s="445">
        <f>IF(ISNUMBER((NºAsuntos!C15+NºAsuntos!E15)/NºAsuntos!G15),(NºAsuntos!C15+NºAsuntos!E15)/NºAsuntos!G15," - ")</f>
        <v>1.5020661157024793</v>
      </c>
      <c r="G15" s="463"/>
    </row>
    <row r="16" spans="1:7">
      <c r="A16" s="402" t="str">
        <f>Datos!A16</f>
        <v xml:space="preserve">Jdos. 1ª Instª. e Instr.                        </v>
      </c>
      <c r="B16" s="442">
        <f>IF(ISNUMBER(NºAsuntos!G16/NºAsuntos!E16),NºAsuntos!G16/NºAsuntos!E16," - ")</f>
        <v>3.1575091575091574</v>
      </c>
      <c r="C16" s="443">
        <f>IF(ISNUMBER(NºAsuntos!I16/NºAsuntos!G16),NºAsuntos!I16/NºAsuntos!G16," - ")</f>
        <v>0.33178654292343385</v>
      </c>
      <c r="D16" s="444">
        <f>IF(ISNUMBER('Resol  Asuntos'!D16/NºAsuntos!G16),'Resol  Asuntos'!D16/NºAsuntos!G16," - ")</f>
        <v>0.18909512761020883</v>
      </c>
      <c r="E16" s="445">
        <f>IF(ISNUMBER((NºAsuntos!C16+NºAsuntos!E16)/NºAsuntos!G16),(NºAsuntos!C16+NºAsuntos!E16)/NºAsuntos!G16," - ")</f>
        <v>1.3236658932714618</v>
      </c>
      <c r="G16" s="463"/>
    </row>
    <row r="17" spans="1:7" ht="13.5" thickBot="1">
      <c r="A17" s="402" t="str">
        <f>Datos!A17</f>
        <v>Jdos. Violencia contra la mujer</v>
      </c>
      <c r="B17" s="442">
        <f>IF(ISNUMBER(NºAsuntos!G17/NºAsuntos!E17),NºAsuntos!G17/NºAsuntos!E17," - ")</f>
        <v>0.72451193058568331</v>
      </c>
      <c r="C17" s="443">
        <f>IF(ISNUMBER(NºAsuntos!I17/NºAsuntos!G17),NºAsuntos!I17/NºAsuntos!G17," - ")</f>
        <v>0.63772455089820357</v>
      </c>
      <c r="D17" s="444">
        <f>IF(ISNUMBER('Resol  Asuntos'!D17/NºAsuntos!G17),'Resol  Asuntos'!D17/NºAsuntos!G17," - ")</f>
        <v>0.19760479041916168</v>
      </c>
      <c r="E17" s="445">
        <f>IF(ISNUMBER((NºAsuntos!C17+NºAsuntos!E17)/NºAsuntos!G17),(NºAsuntos!C17+NºAsuntos!E17)/NºAsuntos!G17," - ")</f>
        <v>1.7005988023952097</v>
      </c>
      <c r="G17" s="463"/>
    </row>
    <row r="18" spans="1:7" ht="14.25" thickTop="1" thickBot="1">
      <c r="A18" s="848" t="str">
        <f>Datos!A18</f>
        <v>TOTAL</v>
      </c>
      <c r="B18" s="858">
        <f>IF(ISNUMBER(NºAsuntos!G18/NºAsuntos!E18),NºAsuntos!G18/NºAsuntos!E18," - ")</f>
        <v>0.83382691674893061</v>
      </c>
      <c r="C18" s="859">
        <f>IF(ISNUMBER(NºAsuntos!I18/NºAsuntos!G18),NºAsuntos!I18/NºAsuntos!G18," - ")</f>
        <v>0.4636937647987372</v>
      </c>
      <c r="D18" s="862">
        <f>IF(ISNUMBER('Resol  Asuntos'!D18/NºAsuntos!G18),'Resol  Asuntos'!D18/NºAsuntos!G18," - ")</f>
        <v>0.13082083662194161</v>
      </c>
      <c r="E18" s="861">
        <f>IF(ISNUMBER((NºAsuntos!C18+NºAsuntos!E18)/NºAsuntos!G18),(NºAsuntos!C18+NºAsuntos!E18)/NºAsuntos!G18," - ")</f>
        <v>1.4848066298342542</v>
      </c>
      <c r="G18" s="463"/>
    </row>
    <row r="19" spans="1:7" ht="15.75" customHeight="1" thickTop="1" thickBot="1">
      <c r="A19" s="793" t="str">
        <f>Datos!A19</f>
        <v>TOTAL JURISDICCIONES</v>
      </c>
      <c r="B19" s="808">
        <f>IF(ISNUMBER(NºAsuntos!G19/NºAsuntos!E19),NºAsuntos!G19/NºAsuntos!E19," - ")</f>
        <v>0.835601641823288</v>
      </c>
      <c r="C19" s="809">
        <f>IF(ISNUMBER(NºAsuntos!I19/NºAsuntos!G19),NºAsuntos!I19/NºAsuntos!G19," - ")</f>
        <v>0.51034126163391935</v>
      </c>
      <c r="D19" s="810">
        <f>IF(ISNUMBER('Resol  Asuntos'!D19/NºAsuntos!G19),'Resol  Asuntos'!D19/NºAsuntos!G19," - ")</f>
        <v>0.20846259910375733</v>
      </c>
      <c r="E19" s="811">
        <f>IF(ISNUMBER((NºAsuntos!C19+NºAsuntos!E19)/NºAsuntos!G19),(NºAsuntos!C19+NºAsuntos!E19)/NºAsuntos!G19," - ")</f>
        <v>1.5230093071354704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09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LEÓN</v>
      </c>
      <c r="G2" s="263"/>
      <c r="H2" s="262"/>
      <c r="I2" s="262"/>
      <c r="J2" s="262"/>
      <c r="K2" s="262"/>
      <c r="L2" s="262" t="str">
        <f>Criterios!A10 &amp;"  "&amp;Criterios!B10</f>
        <v>Provincias  LEON</v>
      </c>
      <c r="N2" s="262" t="str">
        <f>Criterios!A11 &amp;"  "&amp;Criterios!B11</f>
        <v>Resumenes por Partidos Judiciales  PONFERRADA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2023          Trimestre   1 al 4</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1260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436</v>
      </c>
      <c r="Y9" s="334">
        <f>SUM(W9:X9)</f>
        <v>436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4718</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1473</v>
      </c>
      <c r="AJ9" s="229" t="str">
        <f>IF(ISNUMBER(Datos!BW9),Datos!BW9," - ")</f>
        <v xml:space="preserve"> - </v>
      </c>
      <c r="AK9" s="228" t="str">
        <f>IF(ISNUMBER(Datos!BX9),Datos!BX9," - ")</f>
        <v xml:space="preserve"> - </v>
      </c>
      <c r="AL9" s="243">
        <f>IF(ISNUMBER(NºAsuntos!G9/NºAsuntos!E9),NºAsuntos!G9/NºAsuntos!E9," - ")</f>
        <v>0.72622820919175912</v>
      </c>
      <c r="AM9" s="260">
        <f>IF(ISNUMBER(((NºAsuntos!I9/NºAsuntos!G9)*11)/factor_trimestre),((NºAsuntos!I9/NºAsuntos!G9)*11)/factor_trimestre," - ")</f>
        <v>6.9232587743226048</v>
      </c>
      <c r="AN9" s="244">
        <f>IF(ISNUMBER('Resol  Asuntos'!D9/NºAsuntos!G9),'Resol  Asuntos'!D9/NºAsuntos!G9," - ")</f>
        <v>0.26786688488816146</v>
      </c>
      <c r="AO9" s="245">
        <f>IF(ISNUMBER((NºAsuntos!C9+NºAsuntos!E9)/NºAsuntos!G9),(NºAsuntos!C9+NºAsuntos!E9)/NºAsuntos!G9," - ")</f>
        <v>1.6366612111292962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28</v>
      </c>
      <c r="G10" s="333">
        <f>IF(ISNUMBER(Datos!I10),Datos!I10," - ")</f>
        <v>28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61</v>
      </c>
      <c r="X10" s="226">
        <f>IF(ISNUMBER(Datos!Q10),Datos!Q10," - ")</f>
        <v>1</v>
      </c>
      <c r="Y10" s="334">
        <f t="shared" ref="Y10:Y12" si="0">SUM(W10:X10)</f>
        <v>62</v>
      </c>
      <c r="Z10" s="335" t="str">
        <f>IF(ISNUMBER(Datos!CC10),Datos!CC10," - ")</f>
        <v xml:space="preserve"> - </v>
      </c>
      <c r="AA10" s="332">
        <f>IF(ISNUMBER(Datos!L10),Datos!L10,"-")</f>
        <v>24</v>
      </c>
      <c r="AB10" s="334">
        <f>IF(ISNUMBER(Datos!R10),Datos!R10," - ")</f>
        <v>44</v>
      </c>
      <c r="AC10" s="334">
        <f t="shared" ref="AC10:AC12" si="1">IF(ISNUMBER(AA10+AB10),AA10+AB10," - ")</f>
        <v>68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25</v>
      </c>
      <c r="AJ10" s="231" t="str">
        <f>IF(ISNUMBER(Datos!BW10),Datos!BW10," - ")</f>
        <v xml:space="preserve"> - </v>
      </c>
      <c r="AK10" s="232" t="str">
        <f>IF(ISNUMBER(Datos!BX10),Datos!BX10," - ")</f>
        <v xml:space="preserve"> - </v>
      </c>
      <c r="AL10" s="243">
        <f>IF(ISNUMBER(NºAsuntos!G10/NºAsuntos!E10),NºAsuntos!G10/NºAsuntos!E10," - ")</f>
        <v>1.0701754385964912</v>
      </c>
      <c r="AM10" s="260">
        <f>IF(ISNUMBER(((NºAsuntos!I10/NºAsuntos!G10)*11)/factor_trimestre),((NºAsuntos!I10/NºAsuntos!G10)*11)/factor_trimestre," - ")</f>
        <v>4.3278688524590159</v>
      </c>
      <c r="AN10" s="244">
        <f>IF(ISNUMBER('Resol  Asuntos'!D10/NºAsuntos!G10),'Resol  Asuntos'!D10/NºAsuntos!G10," - ")</f>
        <v>0.4098360655737705</v>
      </c>
      <c r="AO10" s="245">
        <f>IF(ISNUMBER((NºAsuntos!C10+NºAsuntos!E10)/NºAsuntos!G10),(NºAsuntos!C10+NºAsuntos!E10)/NºAsuntos!G10," - ")</f>
        <v>1.3934426229508197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435</v>
      </c>
      <c r="Y12" s="334">
        <f t="shared" si="0"/>
        <v>435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1915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258</v>
      </c>
      <c r="AJ12" s="229" t="str">
        <f>IF(ISNUMBER(Datos!BW12),Datos!BW12," - ")</f>
        <v xml:space="preserve"> - </v>
      </c>
      <c r="AK12" s="228" t="str">
        <f>IF(ISNUMBER(Datos!BX12),Datos!BX12," - ")</f>
        <v xml:space="preserve"> - </v>
      </c>
      <c r="AL12" s="243">
        <f>IF(ISNUMBER(NºAsuntos!G12/NºAsuntos!E12),NºAsuntos!G12/NºAsuntos!E12," - ")</f>
        <v>5.4222222222222225</v>
      </c>
      <c r="AM12" s="260">
        <f>IF(ISNUMBER(((NºAsuntos!I12/NºAsuntos!G12)*11)/factor_trimestre),((NºAsuntos!I12/NºAsuntos!G12)*11)/factor_trimestre," - ")</f>
        <v>0.98053278688524592</v>
      </c>
      <c r="AN12" s="244">
        <f>IF(ISNUMBER('Resol  Asuntos'!D12/NºAsuntos!G12),'Resol  Asuntos'!D12/NºAsuntos!G12," - ")</f>
        <v>0.26434426229508196</v>
      </c>
      <c r="AO12" s="245">
        <f>IF(ISNUMBER((NºAsuntos!C12+NºAsuntos!E12)/NºAsuntos!G12),(NºAsuntos!C12+NºAsuntos!E12)/NºAsuntos!G12," - ")</f>
        <v>1.089139344262295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28</v>
      </c>
      <c r="G13" s="866">
        <f t="shared" si="3"/>
        <v>28</v>
      </c>
      <c r="H13" s="865">
        <f t="shared" si="3"/>
        <v>0</v>
      </c>
      <c r="I13" s="867">
        <f t="shared" si="3"/>
        <v>0</v>
      </c>
      <c r="J13" s="867">
        <f t="shared" si="3"/>
        <v>0</v>
      </c>
      <c r="K13" s="867">
        <f t="shared" si="3"/>
        <v>0</v>
      </c>
      <c r="L13" s="867">
        <f t="shared" si="3"/>
        <v>1261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61</v>
      </c>
      <c r="X13" s="867">
        <f t="shared" si="4"/>
        <v>872</v>
      </c>
      <c r="Y13" s="868">
        <f t="shared" si="4"/>
        <v>933</v>
      </c>
      <c r="Z13" s="868">
        <f t="shared" si="4"/>
        <v>0</v>
      </c>
      <c r="AA13" s="868">
        <f t="shared" si="4"/>
        <v>24</v>
      </c>
      <c r="AB13" s="868">
        <f t="shared" si="4"/>
        <v>6677</v>
      </c>
      <c r="AC13" s="868">
        <f t="shared" si="4"/>
        <v>68</v>
      </c>
      <c r="AD13" s="868">
        <f t="shared" si="4"/>
        <v>0</v>
      </c>
      <c r="AE13" s="872">
        <f t="shared" si="4"/>
        <v>0</v>
      </c>
      <c r="AF13" s="865">
        <f t="shared" si="4"/>
        <v>0</v>
      </c>
      <c r="AG13" s="873">
        <f t="shared" si="4"/>
        <v>0</v>
      </c>
      <c r="AH13" s="870">
        <f t="shared" si="4"/>
        <v>0</v>
      </c>
      <c r="AI13" s="865">
        <f t="shared" si="4"/>
        <v>1756</v>
      </c>
      <c r="AJ13" s="867">
        <f t="shared" si="4"/>
        <v>0</v>
      </c>
      <c r="AK13" s="870">
        <f>SUBTOTAL(9,AK9:AK12)</f>
        <v>0</v>
      </c>
      <c r="AL13" s="874">
        <f>IF(ISNUMBER(NºAsuntos!G13/NºAsuntos!E13),NºAsuntos!G13/NºAsuntos!E13," - ")</f>
        <v>0.83698296836982966</v>
      </c>
      <c r="AM13" s="874">
        <f>IF(ISNUMBER(((NºAsuntos!I13/NºAsuntos!G13)*11)/factor_trimestre),((NºAsuntos!I13/NºAsuntos!G13)*11)/factor_trimestre," - ")</f>
        <v>6.0116279069767442</v>
      </c>
      <c r="AN13" s="875">
        <f>IF(ISNUMBER('Resol  Asuntos'!D13/NºAsuntos!G13),'Resol  Asuntos'!D13/NºAsuntos!G13," - ")</f>
        <v>0.2686658506731946</v>
      </c>
      <c r="AO13" s="876">
        <f>IF(ISNUMBER((NºAsuntos!C13+NºAsuntos!E13)/NºAsuntos!G13),(NºAsuntos!C13+NºAsuntos!E13)/NºAsuntos!G13," - ")</f>
        <v>1.5526315789473684</v>
      </c>
      <c r="AP13" s="877" t="str">
        <f t="shared" si="2"/>
        <v xml:space="preserve"> - </v>
      </c>
      <c r="AQ13" s="877">
        <f>IF(ISNUMBER((H13-W13+K13)/(F13)),(H13-W13+K13)/(F13)," - ")</f>
        <v>-2.1785714285714284</v>
      </c>
      <c r="AR13" s="878">
        <f>IF(ISNUMBER((Datos!P13-Datos!Q13)/(Datos!R13-Datos!P13+Datos!Q13)),(Datos!P13-Datos!Q13)/(Datos!R13-Datos!P13+Datos!Q13)," - ")</f>
        <v>6.1863867684478373E-2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379</v>
      </c>
      <c r="G15" s="333">
        <f>IF(ISNUMBER(IF(D_I="SI",Datos!I15,Datos!I15+Datos!AC15)),IF(D_I="SI",Datos!I15,Datos!I15+Datos!AC15)," - ")</f>
        <v>472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158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3872</v>
      </c>
      <c r="X15" s="226">
        <f>IF(ISNUMBER(Datos!Q15),Datos!Q15," - ")</f>
        <v>124</v>
      </c>
      <c r="Y15" s="334">
        <f>SUM(W15)</f>
        <v>3872</v>
      </c>
      <c r="Z15" s="335" t="str">
        <f>IF(ISNUMBER(Datos!CC15),Datos!CC15," - ")</f>
        <v xml:space="preserve"> - </v>
      </c>
      <c r="AA15" s="332">
        <f>IF(ISNUMBER(IF(D_I="SI",Datos!L15,Datos!L15+Datos!AF15)),IF(D_I="SI",Datos!L15,Datos!L15+Datos!AF15)," - ")</f>
        <v>1851</v>
      </c>
      <c r="AB15" s="334">
        <f>IF(ISNUMBER(Datos!R15),Datos!R15," - ")</f>
        <v>221</v>
      </c>
      <c r="AC15" s="334">
        <f t="shared" ref="AC15:AC17" si="6">IF(ISNUMBER(AA15+AB15),AA15+AB15," - ")</f>
        <v>2072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434</v>
      </c>
      <c r="AJ15" s="231" t="str">
        <f>IF(ISNUMBER(Datos!BW15),Datos!BW15," - ")</f>
        <v xml:space="preserve"> - </v>
      </c>
      <c r="AK15" s="232" t="str">
        <f>IF(ISNUMBER(Datos!BX15),Datos!BX15," - ")</f>
        <v xml:space="preserve"> - </v>
      </c>
      <c r="AL15" s="243">
        <f>IF(ISNUMBER(NºAsuntos!G15/NºAsuntos!E15),NºAsuntos!G15/NºAsuntos!E15," - ")</f>
        <v>0.72455089820359286</v>
      </c>
      <c r="AM15" s="260">
        <f>IF(ISNUMBER(((NºAsuntos!I15/NºAsuntos!G15)*11)/factor_trimestre),((NºAsuntos!I15/NºAsuntos!G15)*11)/factor_trimestre," - ")</f>
        <v>5.2585227272727275</v>
      </c>
      <c r="AN15" s="244">
        <f>IF(ISNUMBER('Resol  Asuntos'!D15/NºAsuntos!G15),'Resol  Asuntos'!D15/NºAsuntos!G15," - ")</f>
        <v>0.11208677685950413</v>
      </c>
      <c r="AO15" s="245">
        <f>IF(ISNUMBER((NºAsuntos!C15+NºAsuntos!E15)/NºAsuntos!G15),(NºAsuntos!C15+NºAsuntos!E15)/NºAsuntos!G15," - ")</f>
        <v>1.5020661157024793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875</v>
      </c>
      <c r="G16" s="333">
        <f>IF(ISNUMBER(IF(D_I="SI",Datos!I16,Datos!I16+Datos!AC16)),IF(D_I="SI",Datos!I16,Datos!I16+Datos!AC16)," - ")</f>
        <v>868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862</v>
      </c>
      <c r="X16" s="226">
        <f>IF(ISNUMBER(Datos!Q16),Datos!Q16," - ")</f>
        <v>62</v>
      </c>
      <c r="Y16" s="334">
        <f t="shared" ref="Y16:Y17" si="7">SUM(W16:X16)</f>
        <v>924</v>
      </c>
      <c r="Z16" s="335" t="str">
        <f>IF(ISNUMBER(Datos!CC16),Datos!CC16," - ")</f>
        <v xml:space="preserve"> - </v>
      </c>
      <c r="AA16" s="332">
        <f>IF(ISNUMBER(IF(D_I="SI",Datos!L16,Datos!L16+Datos!AF16)),IF(D_I="SI",Datos!L16,Datos!L16+Datos!AF16)," - ")</f>
        <v>286</v>
      </c>
      <c r="AB16" s="334">
        <f>IF(ISNUMBER(Datos!R16),Datos!R16," - ")</f>
        <v>0</v>
      </c>
      <c r="AC16" s="334">
        <f t="shared" si="6"/>
        <v>286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163</v>
      </c>
      <c r="AJ16" s="231" t="str">
        <f>IF(ISNUMBER(Datos!BW16),Datos!BW16," - ")</f>
        <v xml:space="preserve"> - </v>
      </c>
      <c r="AK16" s="232" t="str">
        <f>IF(ISNUMBER(Datos!BX16),Datos!BX16," - ")</f>
        <v xml:space="preserve"> - </v>
      </c>
      <c r="AL16" s="243">
        <f>IF(ISNUMBER(NºAsuntos!G16/NºAsuntos!E16),NºAsuntos!G16/NºAsuntos!E16," - ")</f>
        <v>3.1575091575091574</v>
      </c>
      <c r="AM16" s="260">
        <f>IF(ISNUMBER(((NºAsuntos!I16/NºAsuntos!G16)*11)/factor_trimestre),((NºAsuntos!I16/NºAsuntos!G16)*11)/factor_trimestre," - ")</f>
        <v>3.6496519721577725</v>
      </c>
      <c r="AN16" s="244">
        <f>IF(ISNUMBER('Resol  Asuntos'!D16/NºAsuntos!G16),'Resol  Asuntos'!D16/NºAsuntos!G16," - ")</f>
        <v>0.18909512761020883</v>
      </c>
      <c r="AO16" s="245">
        <f>IF(ISNUMBER((NºAsuntos!C16+NºAsuntos!E16)/NºAsuntos!G16),(NºAsuntos!C16+NºAsuntos!E16)/NºAsuntos!G16," - ")</f>
        <v>1.3236658932714618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334</v>
      </c>
      <c r="X17" s="226">
        <f>IF(ISNUMBER(Datos!Q17),Datos!Q17," - ")</f>
        <v>8</v>
      </c>
      <c r="Y17" s="334">
        <f t="shared" si="7"/>
        <v>342</v>
      </c>
      <c r="Z17" s="335" t="str">
        <f>IF(ISNUMBER(Datos!CC17),Datos!CC17," - ")</f>
        <v xml:space="preserve"> - </v>
      </c>
      <c r="AA17" s="332">
        <f>IF(ISNUMBER(Datos!L17),Datos!L17,"-")</f>
        <v>213</v>
      </c>
      <c r="AB17" s="334">
        <f>IF(ISNUMBER(Datos!R17),Datos!R17," - ")</f>
        <v>2</v>
      </c>
      <c r="AC17" s="334">
        <f t="shared" si="6"/>
        <v>215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66</v>
      </c>
      <c r="AJ17" s="231" t="str">
        <f>IF(ISNUMBER(Datos!BW17),Datos!BW17," - ")</f>
        <v xml:space="preserve"> - </v>
      </c>
      <c r="AK17" s="232" t="str">
        <f>IF(ISNUMBER(Datos!BX17),Datos!BX17," - ")</f>
        <v xml:space="preserve"> - </v>
      </c>
      <c r="AL17" s="243">
        <f>IF(ISNUMBER(NºAsuntos!G17/NºAsuntos!E17),NºAsuntos!G17/NºAsuntos!E17," - ")</f>
        <v>0.72451193058568331</v>
      </c>
      <c r="AM17" s="260">
        <f>IF(ISNUMBER(((NºAsuntos!I17/NºAsuntos!G17)*11)/factor_trimestre),((NºAsuntos!I17/NºAsuntos!G17)*11)/factor_trimestre," - ")</f>
        <v>7.0149700598802394</v>
      </c>
      <c r="AN17" s="244">
        <f>IF(ISNUMBER('Resol  Asuntos'!D17/NºAsuntos!G17),'Resol  Asuntos'!D17/NºAsuntos!G17," - ")</f>
        <v>0.19760479041916168</v>
      </c>
      <c r="AO17" s="245">
        <f>IF(ISNUMBER((NºAsuntos!C17+NºAsuntos!E17)/NºAsuntos!G17),(NºAsuntos!C17+NºAsuntos!E17)/NºAsuntos!G17," - ")</f>
        <v>1.7005988023952097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1254</v>
      </c>
      <c r="G18" s="866">
        <f>SUBTOTAL(9,G15:G17)</f>
        <v>1447</v>
      </c>
      <c r="H18" s="865">
        <f t="shared" ref="H18:O18" si="10">SUBTOTAL(9,H14:H17)</f>
        <v>0</v>
      </c>
      <c r="I18" s="867">
        <f t="shared" si="10"/>
        <v>0</v>
      </c>
      <c r="J18" s="867">
        <f t="shared" si="10"/>
        <v>0</v>
      </c>
      <c r="K18" s="867">
        <f t="shared" si="10"/>
        <v>0</v>
      </c>
      <c r="L18" s="867">
        <f t="shared" si="10"/>
        <v>176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5068</v>
      </c>
      <c r="X18" s="867">
        <f t="shared" si="11"/>
        <v>194</v>
      </c>
      <c r="Y18" s="868">
        <f t="shared" si="11"/>
        <v>5138</v>
      </c>
      <c r="Z18" s="868">
        <f t="shared" si="11"/>
        <v>0</v>
      </c>
      <c r="AA18" s="868">
        <f t="shared" si="11"/>
        <v>2350</v>
      </c>
      <c r="AB18" s="868">
        <f t="shared" si="11"/>
        <v>223</v>
      </c>
      <c r="AC18" s="868">
        <f t="shared" si="11"/>
        <v>2573</v>
      </c>
      <c r="AD18" s="868">
        <f t="shared" si="11"/>
        <v>0</v>
      </c>
      <c r="AE18" s="872">
        <f t="shared" si="11"/>
        <v>0</v>
      </c>
      <c r="AF18" s="865">
        <f t="shared" si="11"/>
        <v>0</v>
      </c>
      <c r="AG18" s="873">
        <f t="shared" si="11"/>
        <v>0</v>
      </c>
      <c r="AH18" s="870">
        <f t="shared" si="11"/>
        <v>0</v>
      </c>
      <c r="AI18" s="865">
        <f t="shared" si="11"/>
        <v>663</v>
      </c>
      <c r="AJ18" s="867">
        <f t="shared" si="11"/>
        <v>0</v>
      </c>
      <c r="AK18" s="870">
        <f t="shared" si="11"/>
        <v>0</v>
      </c>
      <c r="AL18" s="874">
        <f>IF(ISNUMBER(NºAsuntos!G18/NºAsuntos!E18),NºAsuntos!G18/NºAsuntos!E18," - ")</f>
        <v>0.83382691674893061</v>
      </c>
      <c r="AM18" s="874">
        <f>IF(ISNUMBER(((NºAsuntos!I18/NºAsuntos!G18)*11)/factor_trimestre),((NºAsuntos!I18/NºAsuntos!G18)*11)/factor_trimestre," - ")</f>
        <v>5.1006314127861092</v>
      </c>
      <c r="AN18" s="875">
        <f>IF(ISNUMBER('Resol  Asuntos'!D18/NºAsuntos!G18),'Resol  Asuntos'!D18/NºAsuntos!G18," - ")</f>
        <v>0.13082083662194161</v>
      </c>
      <c r="AO18" s="876">
        <f>IF(ISNUMBER((NºAsuntos!C18+NºAsuntos!E18)/NºAsuntos!G18),(NºAsuntos!C18+NºAsuntos!E18)/NºAsuntos!G18," - ")</f>
        <v>1.4848066298342542</v>
      </c>
      <c r="AP18" s="877" t="str">
        <f t="shared" si="2"/>
        <v xml:space="preserve"> - </v>
      </c>
      <c r="AQ18" s="877">
        <f>IF(ISNUMBER((H18-W18+K18)/(F18)),(H18-W18+K18)/(F18)," - ")</f>
        <v>-4.0414673046251997</v>
      </c>
      <c r="AR18" s="878">
        <f>IF(ISNUMBER((Datos!P18-Datos!Q18)/(Datos!R18-Datos!P18+Datos!Q18)),(Datos!P18-Datos!Q18)/(Datos!R18-Datos!P18+Datos!Q18)," - ")</f>
        <v>-7.4688796680497924E-2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1282</v>
      </c>
      <c r="G19" s="821">
        <f t="shared" si="13"/>
        <v>1475</v>
      </c>
      <c r="H19" s="820">
        <f t="shared" si="13"/>
        <v>0</v>
      </c>
      <c r="I19" s="822">
        <f t="shared" si="13"/>
        <v>0</v>
      </c>
      <c r="J19" s="822">
        <f t="shared" si="13"/>
        <v>0</v>
      </c>
      <c r="K19" s="881">
        <f t="shared" si="13"/>
        <v>0</v>
      </c>
      <c r="L19" s="822">
        <f t="shared" si="13"/>
        <v>1437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5129</v>
      </c>
      <c r="X19" s="821">
        <f t="shared" si="14"/>
        <v>1066</v>
      </c>
      <c r="Y19" s="828">
        <f t="shared" si="14"/>
        <v>6071</v>
      </c>
      <c r="Z19" s="828">
        <f t="shared" si="14"/>
        <v>0</v>
      </c>
      <c r="AA19" s="828">
        <f t="shared" si="14"/>
        <v>2374</v>
      </c>
      <c r="AB19" s="828">
        <f t="shared" si="14"/>
        <v>6900</v>
      </c>
      <c r="AC19" s="828">
        <f t="shared" si="14"/>
        <v>2641</v>
      </c>
      <c r="AD19" s="828">
        <f t="shared" si="14"/>
        <v>0</v>
      </c>
      <c r="AE19" s="830">
        <f t="shared" si="14"/>
        <v>0</v>
      </c>
      <c r="AF19" s="831">
        <f t="shared" si="14"/>
        <v>0</v>
      </c>
      <c r="AG19" s="832">
        <f t="shared" si="14"/>
        <v>0</v>
      </c>
      <c r="AH19" s="830">
        <f t="shared" si="14"/>
        <v>0</v>
      </c>
      <c r="AI19" s="820">
        <f t="shared" si="14"/>
        <v>2419</v>
      </c>
      <c r="AJ19" s="820">
        <f t="shared" si="14"/>
        <v>0</v>
      </c>
      <c r="AK19" s="830">
        <f t="shared" si="14"/>
        <v>0</v>
      </c>
      <c r="AL19" s="884">
        <f>IF(ISNUMBER(NºAsuntos!G19/NºAsuntos!E19),NºAsuntos!G19/NºAsuntos!E19," - ")</f>
        <v>0.835601641823288</v>
      </c>
      <c r="AM19" s="885">
        <f>IF(ISNUMBER(((NºAsuntos!I19/NºAsuntos!G19)*11)/factor_trimestre),((NºAsuntos!I19/NºAsuntos!G19)*11)/factor_trimestre," - ")</f>
        <v>5.6137538779731129</v>
      </c>
      <c r="AN19" s="885">
        <f>IF(ISNUMBER('Resol  Asuntos'!D19/NºAsuntos!G19),'Resol  Asuntos'!D19/NºAsuntos!G19," - ")</f>
        <v>0.20846259910375733</v>
      </c>
      <c r="AO19" s="886">
        <f>IF(ISNUMBER((NºAsuntos!C19+NºAsuntos!E19)/NºAsuntos!G19),(NºAsuntos!C19+NºAsuntos!E19)/NºAsuntos!G19," - ")</f>
        <v>1.5230093071354704</v>
      </c>
      <c r="AP19" s="887" t="str">
        <f t="shared" si="2"/>
        <v xml:space="preserve"> - </v>
      </c>
      <c r="AQ19" s="888">
        <f>IF(OR(ISNUMBER(FIND("01",Criterios!A8,1)),ISNUMBER(FIND("02",Criterios!A8,1)),ISNUMBER(FIND("03",Criterios!A8,1)),ISNUMBER(FIND("04",Criterios!A8,1))),(I19-W19+K19)/(F19-K19),(H19-W19+K19)/(F19-K19))</f>
        <v>-4.0007800312012485</v>
      </c>
      <c r="AR19" s="889">
        <f>IF(ISNUMBER((Datos!P19-Datos!Q19)/(Datos!R19-Datos!P19+Datos!Q19)),(Datos!P19-Datos!Q19)/(Datos!R19-Datos!P19+Datos!Q19)," - ")</f>
        <v>5.6823403277684176E-2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491.66666666666669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2.2236106773543889</v>
      </c>
      <c r="F21" s="252">
        <f>IF(ISNUMBER(STDEV(F8:F18)),STDEV(F8:F18),"-")</f>
        <v>540.49301568105398</v>
      </c>
      <c r="G21" s="253">
        <f>IF(ISNUMBER(STDEV(G8:G18)),STDEV(G8:G18),"-")</f>
        <v>571.4223190134129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2190.9490789762017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660.46774550854707</v>
      </c>
      <c r="AJ21" s="252">
        <f t="shared" si="18"/>
        <v>0</v>
      </c>
      <c r="AK21" s="254">
        <f t="shared" si="18"/>
        <v>0</v>
      </c>
      <c r="AL21" s="249">
        <f t="shared" si="18"/>
        <v>1.7205049934172625</v>
      </c>
      <c r="AM21" s="250">
        <f t="shared" si="18"/>
        <v>1.9720746075796867</v>
      </c>
      <c r="AN21" s="250">
        <f t="shared" si="18"/>
        <v>9.4802175829600779E-2</v>
      </c>
      <c r="AO21" s="251">
        <f t="shared" si="18"/>
        <v>0.19295294338548571</v>
      </c>
      <c r="AP21" s="291" t="str">
        <f t="shared" si="18"/>
        <v>-</v>
      </c>
      <c r="AQ21" s="292">
        <f t="shared" si="18"/>
        <v>1.3172663066020762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09 may. 2024</v>
      </c>
      <c r="D30" s="120"/>
    </row>
    <row r="32" spans="1:65">
      <c r="C32" s="1"/>
      <c r="D32" s="1"/>
    </row>
  </sheetData>
  <sheetProtection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LEÓN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PONFERRADA</v>
      </c>
      <c r="E4" s="263"/>
    </row>
    <row r="5" spans="2:20" ht="12.75" customHeight="1">
      <c r="B5" s="272"/>
      <c r="C5" s="1286" t="str">
        <f>"Año:  " &amp;Criterios!B5 &amp; "          Trimestre   " &amp;Criterios!D5 &amp; " al " &amp;Criterios!D6</f>
        <v>Año:  2023          Trimestre   1 al 4</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-0.22222222222222221</v>
      </c>
      <c r="E10" s="348">
        <f>IF(ISNUMBER((Datos!J10-Datos!T10)/Datos!T10),(Datos!J10-Datos!T10)/Datos!T10," - ")</f>
        <v>-1.7241379310344827E-2</v>
      </c>
      <c r="F10" s="348">
        <f>IF(ISNUMBER((Datos!K10-Datos!U10)/Datos!U10),(Datos!K10-Datos!U10)/Datos!U10," - ")</f>
        <v>-7.575757575757576E-2</v>
      </c>
      <c r="G10" s="349">
        <f>IF(ISNUMBER((Datos!L10-Datos!V10)/Datos!V10),(Datos!L10-Datos!V10)/Datos!V10," - ")</f>
        <v>-0.14285714285714285</v>
      </c>
      <c r="H10" s="230">
        <f>IF(ISNUMBER((Datos!M10-Datos!W10)/Datos!W10),(Datos!M10-Datos!W10)/Datos!W10," - ")</f>
        <v>-0.43181818181818182</v>
      </c>
      <c r="I10" s="350">
        <f>IF(ISNUMBER((Tasas!C10-Datos!BE10)/Datos!BE10),(Tasas!C10-Datos!BE10)/Datos!BE10," - ")</f>
        <v>-7.2599531615925098E-2</v>
      </c>
      <c r="J10" s="349">
        <f>IF(ISNUMBER((Tasas!D10-Datos!BF10)/Datos!BF10),(Tasas!D10-Datos!BF10)/Datos!BF10," - ")</f>
        <v>-0.38524590163934419</v>
      </c>
      <c r="K10" s="351">
        <f>IF(ISNUMBER((Tasas!E10-Datos!BG10)/Datos!BG10),(Tasas!E10-Datos!BG10)/Datos!BG10," - ")</f>
        <v>-2.1625392396233047E-2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-0.81779661016949157</v>
      </c>
      <c r="I12" s="350">
        <f>IF(ISNUMBER((Tasas!C12-Datos!BE12)/Datos!BE12),(Tasas!C12-Datos!BE12)/Datos!BE12," - ")</f>
        <v>-0.76760512800505065</v>
      </c>
      <c r="J12" s="349">
        <f>IF(ISNUMBER((Tasas!D12-Datos!BF12)/Datos!BF12),(Tasas!D12-Datos!BF12)/Datos!BF12," - ")</f>
        <v>-0.17818669745724006</v>
      </c>
      <c r="K12" s="351">
        <f>IF(ISNUMBER((Tasas!E12-Datos!BG12)/Datos!BG12),(Tasas!E12-Datos!BG12)/Datos!BG12," - ")</f>
        <v>-0.17156109718718249</v>
      </c>
      <c r="M12" t="e">
        <f>IF(Monitorios="SI",Datos!CE12,0)</f>
        <v>#REF!</v>
      </c>
      <c r="N12" t="e">
        <f>IF(Monitorios="SI",Datos!CF12,0)</f>
        <v>#REF!</v>
      </c>
      <c r="O12" t="e">
        <f>IF(Monitorios="SI",Datos!CG12,0)</f>
        <v>#REF!</v>
      </c>
      <c r="P12" t="e">
        <f>IF(Monitorios="SI",Datos!CH12,0)</f>
        <v>#REF!</v>
      </c>
      <c r="Q12">
        <f>IF(J_V="SI",0,Datos!AG12)</f>
        <v>79</v>
      </c>
      <c r="R12">
        <f>IF(J_V="SI",0,Datos!AH12)</f>
        <v>521</v>
      </c>
      <c r="S12">
        <f>IF(J_V="SI",0,Datos!AI12)</f>
        <v>553</v>
      </c>
      <c r="T12">
        <f>IF(J_V="SI",0,Datos!AJ12)</f>
        <v>53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0.20273972602739726</v>
      </c>
      <c r="I13" s="357">
        <f>IF(ISNUMBER((Tasas!C13-Datos!BE13)/Datos!BE13),(Tasas!C13-Datos!BE13)/Datos!BE13," - ")</f>
        <v>0.42317329011603055</v>
      </c>
      <c r="J13" s="355">
        <f>IF(ISNUMBER((Tasas!D13-Datos!BF13)/Datos!BF13),(Tasas!D13-Datos!BF13)/Datos!BF13," - ")</f>
        <v>-0.17434727727021787</v>
      </c>
      <c r="K13" s="358">
        <f>IF(ISNUMBER((Tasas!E13-Datos!BG13)/Datos!BG13),(Tasas!E13-Datos!BG13)/Datos!BG13," - ")</f>
        <v>0.17992251370785045</v>
      </c>
      <c r="M13" t="e">
        <f>IF(Monitorios="SI",Datos!CE13,0)</f>
        <v>#REF!</v>
      </c>
      <c r="N13" t="e">
        <f>IF(Monitorios="SI",Datos!CF13,0)</f>
        <v>#REF!</v>
      </c>
      <c r="O13" t="e">
        <f>IF(Monitorios="SI",Datos!CG13,0)</f>
        <v>#REF!</v>
      </c>
      <c r="P13" t="e">
        <f>IF(Monitorios="SI",Datos!CH13,0)</f>
        <v>#REF!</v>
      </c>
      <c r="Q13">
        <f>IF(J_V="SI",0,Datos!AG13)</f>
        <v>79</v>
      </c>
      <c r="R13">
        <f>IF(J_V="SI",0,Datos!AH13)</f>
        <v>521</v>
      </c>
      <c r="S13">
        <f>IF(J_V="SI",0,Datos!AI13)</f>
        <v>553</v>
      </c>
      <c r="T13">
        <f>IF(J_V="SI",0,Datos!AJ13)</f>
        <v>53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-0.27847049044056527</v>
      </c>
      <c r="E16" s="348">
        <f>IF(ISNUMBER(
   IF(D_I="SI",(Datos!J16-Datos!T16)/Datos!T16,(Datos!J16+Datos!AD16-(Datos!T16+Datos!AL16))/(Datos!T16+Datos!AL16))
     ),IF(D_I="SI",(Datos!J16-Datos!T16)/Datos!T16,(Datos!J16+Datos!AD16-(Datos!T16+Datos!AL16))/(Datos!T16+Datos!AL16))," - ")</f>
        <v>-0.94895287958115182</v>
      </c>
      <c r="F16" s="348">
        <f>IF(ISNUMBER(
   IF(D_I="SI",(Datos!K16-Datos!U16)/Datos!U16,(Datos!K16+Datos!AE16-(Datos!U16+Datos!AM16))/(Datos!U16+Datos!AM16))
     ),IF(D_I="SI",(Datos!K16-Datos!U16)/Datos!U16,(Datos!K16+Datos!AE16-(Datos!U16+Datos!AM16))/(Datos!U16+Datos!AM16))," - ")</f>
        <v>-0.84078315478389365</v>
      </c>
      <c r="G16" s="349">
        <f>IF(ISNUMBER(
   IF(D_I="SI",(Datos!L16-Datos!V16)/Datos!V16,(Datos!L16+Datos!AF16-(Datos!V16+Datos!AN16))/(Datos!V16+Datos!AN16))
     ),IF(D_I="SI",(Datos!L16-Datos!V16)/Datos!V16,(Datos!L16+Datos!AF16-(Datos!V16+Datos!AN16))/(Datos!V16+Datos!AN16))," - ")</f>
        <v>-0.78656716417910444</v>
      </c>
      <c r="H16" s="230">
        <f>IF(ISNUMBER((Datos!M16-Datos!W16)/Datos!W16),(Datos!M16-Datos!W16)/Datos!W16," - ")</f>
        <v>-0.81767337807606266</v>
      </c>
      <c r="I16" s="350">
        <f>IF(ISNUMBER((Tasas!C16-Datos!BE16)/Datos!BE16),(Tasas!C16-Datos!BE16)/Datos!BE16," - ")</f>
        <v>0.34051667416975429</v>
      </c>
      <c r="J16" s="349">
        <f>IF(ISNUMBER((Tasas!D16-Datos!BF16)/Datos!BF16),(Tasas!D16-Datos!BF16)/Datos!BF16," - ")</f>
        <v>0.14514655579605215</v>
      </c>
      <c r="K16" s="351">
        <f>IF(ISNUMBER((Tasas!E16-Datos!BG16)/Datos!BG16),(Tasas!E16-Datos!BG16)/Datos!BG16," - ")</f>
        <v>9.392873548644394E-2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0.33750000000000002</v>
      </c>
      <c r="E17" s="348">
        <f>IF(ISNUMBER(
   IF(D_I="SI",(Datos!J17-Datos!T17)/Datos!T17,(Datos!J17+Datos!AD17-(Datos!T17+Datos!AL17))/(Datos!T17+Datos!AL17))
     ),IF(D_I="SI",(Datos!J17-Datos!T17)/Datos!T17,(Datos!J17+Datos!AD17-(Datos!T17+Datos!AL17))/(Datos!T17+Datos!AL17))," - ")</f>
        <v>0.15538847117794485</v>
      </c>
      <c r="F17" s="348">
        <f>IF(ISNUMBER(
   IF(D_I="SI",(Datos!K17-Datos!U17)/Datos!U17,(Datos!K17+Datos!AE17-(Datos!U17+Datos!AM17))/(Datos!U17+Datos!AM17))
     ),IF(D_I="SI",(Datos!K17-Datos!U17)/Datos!U17,(Datos!K17+Datos!AE17-(Datos!U17+Datos!AM17))/(Datos!U17+Datos!AM17))," - ")</f>
        <v>-0.11405835543766578</v>
      </c>
      <c r="G17" s="349">
        <f>IF(ISNUMBER(
   IF(D_I="SI",(Datos!L17-Datos!V17)/Datos!V17,(Datos!L17+Datos!AF17-(Datos!V17+Datos!AN17))/(Datos!V17+Datos!AN17))
     ),IF(D_I="SI",(Datos!L17-Datos!V17)/Datos!V17,(Datos!L17+Datos!AF17-(Datos!V17+Datos!AN17))/(Datos!V17+Datos!AN17))," - ")</f>
        <v>0.99065420560747663</v>
      </c>
      <c r="H17" s="230">
        <f>IF(ISNUMBER((Datos!M17-Datos!W17)/Datos!W17),(Datos!M17-Datos!W17)/Datos!W17," - ")</f>
        <v>0.32</v>
      </c>
      <c r="I17" s="350">
        <f>IF(ISNUMBER((Tasas!C17-Datos!BE17)/Datos!BE17),(Tasas!C17-Datos!BE17)/Datos!BE17," - ")</f>
        <v>1.24693603447311</v>
      </c>
      <c r="J17" s="349">
        <f>IF(ISNUMBER((Tasas!D17-Datos!BF17)/Datos!BF17),(Tasas!D17-Datos!BF17)/Datos!BF17," - ")</f>
        <v>0.48994011976047891</v>
      </c>
      <c r="K17" s="351">
        <f>IF(ISNUMBER((Tasas!E17-Datos!BG17)/Datos!BG17),(Tasas!E17-Datos!BG17)/Datos!BG17," - ")</f>
        <v>0.33846711587263889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0.12782540919719407</v>
      </c>
      <c r="E18" s="354">
        <f>IF(ISNUMBER(
   IF(D_I="SI",(Datos!J18-Datos!T18)/Datos!T18,(Datos!J18+Datos!AD18-(Datos!T18+Datos!AL18))/(Datos!T18+Datos!AL18))
     ),IF(D_I="SI",(Datos!J18-Datos!T18)/Datos!T18,(Datos!J18+Datos!AD18-(Datos!T18+Datos!AL18))/(Datos!T18+Datos!AL18))," - ")</f>
        <v>5.7595267095876111E-2</v>
      </c>
      <c r="F18" s="354">
        <f>IF(ISNUMBER(
   IF(D_I="SI",(Datos!K18-Datos!U18)/Datos!U18,(Datos!K18+Datos!AE18-(Datos!U18+Datos!AM18))/(Datos!U18+Datos!AM18))
     ),IF(D_I="SI",(Datos!K18-Datos!U18)/Datos!U18,(Datos!K18+Datos!AE18-(Datos!U18+Datos!AM18))/(Datos!U18+Datos!AM18))," - ")</f>
        <v>-0.12484890347090312</v>
      </c>
      <c r="G18" s="355">
        <f>IF(ISNUMBER(
   IF(D_I="SI",(Datos!L18-Datos!V18)/Datos!V18,(Datos!L18+Datos!AF18-(Datos!V18+Datos!AN18))/(Datos!V18+Datos!AN18))
     ),IF(D_I="SI",(Datos!L18-Datos!V18)/Datos!V18,(Datos!L18+Datos!AF18-(Datos!V18+Datos!AN18))/(Datos!V18+Datos!AN18))," - ")</f>
        <v>0.62404975812024877</v>
      </c>
      <c r="H18" s="356">
        <f>IF(ISNUMBER((Datos!M18-Datos!W18)/Datos!W18),(Datos!M18-Datos!W18)/Datos!W18," - ")</f>
        <v>-0.29766949152542371</v>
      </c>
      <c r="I18" s="357">
        <f>IF(ISNUMBER((Tasas!C18-Datos!BE18)/Datos!BE18),(Tasas!C18-Datos!BE18)/Datos!BE18," - ")</f>
        <v>0.8557364146160934</v>
      </c>
      <c r="J18" s="355">
        <f>IF(ISNUMBER((Tasas!D18-Datos!BF18)/Datos!BF18),(Tasas!D18-Datos!BF18)/Datos!BF18," - ")</f>
        <v>-0.19747514313806797</v>
      </c>
      <c r="K18" s="358">
        <f>IF(ISNUMBER((Tasas!E18-Datos!BG18)/Datos!BG18),(Tasas!E18-Datos!BG18)/Datos!BG18," - ")</f>
        <v>0.22311738170272635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8.5747060510467446E-2</v>
      </c>
      <c r="E19" s="363">
        <f>IF(ISNUMBER(
   IF(J_V="SI",(Datos!J19-Datos!T19)/Datos!T19,(Datos!J19+Datos!Z19-(Datos!T19+Datos!AH19))/(Datos!T19+Datos!AH19))
     ),IF(J_V="SI",(Datos!J19-Datos!T19)/Datos!T19,(Datos!J19+Datos!Z19-(Datos!T19+Datos!AH19))/(Datos!T19+Datos!AH19))," - ")</f>
        <v>0.2015054507700294</v>
      </c>
      <c r="F19" s="363">
        <f>IF(ISNUMBER(
   IF(J_V="SI",(Datos!K19-Datos!U19)/Datos!U19,(Datos!K19+Datos!AA19-(Datos!U19+Datos!AI19))/(Datos!U19+Datos!AI19))
     ),IF(J_V="SI",(Datos!K19-Datos!U19)/Datos!U19,(Datos!K19+Datos!AA19-(Datos!U19+Datos!AI19))/(Datos!U19+Datos!AI19))," - ")</f>
        <v>-2.3396734556471975E-2</v>
      </c>
      <c r="G19" s="364">
        <f>IF(ISNUMBER(
   IF(J_V="SI",(Datos!L19-Datos!V19)/Datos!V19,(Datos!L19+Datos!AB19-(Datos!V19+Datos!AJ19))/(Datos!V19+Datos!AJ19))
     ),IF(J_V="SI",(Datos!L19-Datos!V19)/Datos!V19,(Datos!L19+Datos!AB19-(Datos!V19+Datos!AJ19))/(Datos!V19+Datos!AJ19))," - ")</f>
        <v>0.56418383518225035</v>
      </c>
      <c r="H19" s="365">
        <f>IF(ISNUMBER((Datos!M19-Datos!W19)/Datos!W19),(Datos!M19-Datos!W19)/Datos!W19," - ")</f>
        <v>6.239600665557404E-3</v>
      </c>
      <c r="I19" s="362">
        <f>IF(ISNUMBER((Tasas!C19-Datos!BE19)/Datos!BE19),(Tasas!C19-Datos!BE19)/Datos!BE19," - ")</f>
        <v>0.60165738793825396</v>
      </c>
      <c r="J19" s="363">
        <f>IF(ISNUMBER((Tasas!D19-Datos!BF19)/Datos!BF19),(Tasas!D19-Datos!BF19)/Datos!BF19," - ")</f>
        <v>-0.15346801006464639</v>
      </c>
      <c r="K19" s="364">
        <f>IF(ISNUMBER((Tasas!E19-Datos!BG19)/Datos!BG19),(Tasas!E19-Datos!BG19)/Datos!BG19," - ")</f>
        <v>0.20281798520330077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0.29260975365004205</v>
      </c>
      <c r="E21" s="278">
        <f t="shared" si="1"/>
        <v>0.51200263752590824</v>
      </c>
      <c r="F21" s="278">
        <f t="shared" si="1"/>
        <v>0.36854989111155612</v>
      </c>
      <c r="G21" s="279">
        <f t="shared" si="1"/>
        <v>0.79425601891728181</v>
      </c>
      <c r="H21" s="285">
        <f t="shared" si="1"/>
        <v>0.48792021751748571</v>
      </c>
      <c r="I21" s="277">
        <f t="shared" si="1"/>
        <v>0.70603550074629706</v>
      </c>
      <c r="J21" s="278">
        <f t="shared" si="1"/>
        <v>0.31484926984886658</v>
      </c>
      <c r="K21" s="279">
        <f t="shared" si="1"/>
        <v>0.18258674054032709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SYSTEM</cp:lastModifiedBy>
  <cp:lastPrinted>2021-10-22T08:26:52Z</cp:lastPrinted>
  <dcterms:created xsi:type="dcterms:W3CDTF">2003-07-15T10:22:03Z</dcterms:created>
  <dcterms:modified xsi:type="dcterms:W3CDTF">2024-05-09T11:39:08Z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